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\Desktop\Files to move\MIO\Bill Ackman\Sheet to give\"/>
    </mc:Choice>
  </mc:AlternateContent>
  <xr:revisionPtr revIDLastSave="0" documentId="13_ncr:1_{13286707-3A6D-46B5-88EF-84A4ECD92044}" xr6:coauthVersionLast="44" xr6:coauthVersionMax="44" xr10:uidLastSave="{00000000-0000-0000-0000-000000000000}"/>
  <bookViews>
    <workbookView xWindow="-28920" yWindow="-120" windowWidth="29040" windowHeight="15840" activeTab="1" xr2:uid="{00000000-000D-0000-FFFF-FFFF00000000}"/>
  </bookViews>
  <sheets>
    <sheet name="CDS valuation" sheetId="1" r:id="rId1"/>
    <sheet name="The Ackman Trade" sheetId="2" r:id="rId2"/>
    <sheet name="Ackman Performance" sheetId="3" state="hidden" r:id="rId3"/>
    <sheet name="Bury Performance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H6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15" i="2"/>
  <c r="E6" i="2"/>
  <c r="K16" i="1" l="1"/>
  <c r="G16" i="1" s="1"/>
  <c r="L16" i="1"/>
  <c r="H16" i="1" l="1"/>
  <c r="K18" i="1"/>
  <c r="K20" i="1" s="1"/>
  <c r="E10" i="4" l="1"/>
  <c r="E9" i="4" s="1"/>
  <c r="E8" i="4" s="1"/>
  <c r="E7" i="4" s="1"/>
  <c r="E6" i="4" s="1"/>
  <c r="E5" i="4" s="1"/>
  <c r="E4" i="4" s="1"/>
  <c r="E11" i="4"/>
  <c r="E12" i="4"/>
  <c r="G15" i="2"/>
  <c r="M2" i="3"/>
  <c r="M13" i="3"/>
  <c r="M5" i="3"/>
  <c r="M6" i="3" s="1"/>
  <c r="M7" i="3" s="1"/>
  <c r="M8" i="3" s="1"/>
  <c r="M9" i="3" s="1"/>
  <c r="M10" i="3" s="1"/>
  <c r="M4" i="3"/>
  <c r="J15" i="2" l="1"/>
  <c r="E15" i="2"/>
  <c r="I15" i="2" s="1"/>
  <c r="M14" i="3"/>
  <c r="M15" i="3" s="1"/>
  <c r="M16" i="3" s="1"/>
  <c r="M17" i="3" s="1"/>
  <c r="M18" i="3" s="1"/>
  <c r="M19" i="3" s="1"/>
  <c r="M20" i="3" s="1"/>
  <c r="M21" i="3" s="1"/>
  <c r="M22" i="3" s="1"/>
  <c r="G16" i="2"/>
  <c r="F16" i="2" s="1"/>
  <c r="J16" i="2" s="1"/>
  <c r="B70" i="2"/>
  <c r="B71" i="2"/>
  <c r="B72" i="2"/>
  <c r="B73" i="2"/>
  <c r="B74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15" i="2"/>
  <c r="D16" i="2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L24" i="1"/>
  <c r="L22" i="1"/>
  <c r="L20" i="1"/>
  <c r="L18" i="1"/>
  <c r="C17" i="1"/>
  <c r="C19" i="1" s="1"/>
  <c r="B25" i="1"/>
  <c r="B23" i="1"/>
  <c r="B21" i="1"/>
  <c r="B19" i="1"/>
  <c r="B17" i="1"/>
  <c r="E16" i="2" l="1"/>
  <c r="E17" i="2" s="1"/>
  <c r="D17" i="1"/>
  <c r="G17" i="2"/>
  <c r="M16" i="1"/>
  <c r="N16" i="1" s="1"/>
  <c r="G20" i="1"/>
  <c r="G18" i="1"/>
  <c r="H18" i="1" s="1"/>
  <c r="M18" i="1"/>
  <c r="N18" i="1" s="1"/>
  <c r="C21" i="1"/>
  <c r="D19" i="1"/>
  <c r="F17" i="2" l="1"/>
  <c r="J17" i="2" s="1"/>
  <c r="I16" i="2"/>
  <c r="E18" i="2"/>
  <c r="I17" i="2"/>
  <c r="G18" i="2"/>
  <c r="H20" i="1"/>
  <c r="K22" i="1"/>
  <c r="G22" i="1" s="1"/>
  <c r="M20" i="1"/>
  <c r="N20" i="1" s="1"/>
  <c r="C23" i="1"/>
  <c r="D21" i="1"/>
  <c r="G19" i="2" l="1"/>
  <c r="F19" i="2" s="1"/>
  <c r="J19" i="2" s="1"/>
  <c r="F18" i="2"/>
  <c r="J18" i="2" s="1"/>
  <c r="E19" i="2"/>
  <c r="I18" i="2"/>
  <c r="C25" i="1"/>
  <c r="D25" i="1" s="1"/>
  <c r="D23" i="1"/>
  <c r="M22" i="1"/>
  <c r="N22" i="1" s="1"/>
  <c r="H22" i="1"/>
  <c r="K24" i="1"/>
  <c r="G24" i="1" s="1"/>
  <c r="G20" i="2" l="1"/>
  <c r="F20" i="2" s="1"/>
  <c r="J20" i="2" s="1"/>
  <c r="E20" i="2"/>
  <c r="I19" i="2"/>
  <c r="G21" i="2"/>
  <c r="F21" i="2" s="1"/>
  <c r="J21" i="2" s="1"/>
  <c r="D26" i="1"/>
  <c r="M24" i="1"/>
  <c r="N24" i="1" s="1"/>
  <c r="N26" i="1" s="1"/>
  <c r="H24" i="1"/>
  <c r="H26" i="1" s="1"/>
  <c r="E21" i="2" l="1"/>
  <c r="I20" i="2"/>
  <c r="H27" i="1"/>
  <c r="D31" i="1" s="1"/>
  <c r="G22" i="2"/>
  <c r="F22" i="2" s="1"/>
  <c r="J22" i="2" s="1"/>
  <c r="E22" i="2" l="1"/>
  <c r="I21" i="2"/>
  <c r="G23" i="2"/>
  <c r="F23" i="2" s="1"/>
  <c r="J23" i="2" s="1"/>
  <c r="E23" i="2" l="1"/>
  <c r="I22" i="2"/>
  <c r="G24" i="2"/>
  <c r="F24" i="2" s="1"/>
  <c r="J24" i="2" s="1"/>
  <c r="E24" i="2" l="1"/>
  <c r="I23" i="2"/>
  <c r="G25" i="2"/>
  <c r="F25" i="2" s="1"/>
  <c r="J25" i="2" s="1"/>
  <c r="E25" i="2" l="1"/>
  <c r="I24" i="2"/>
  <c r="G26" i="2"/>
  <c r="F26" i="2" s="1"/>
  <c r="J26" i="2" s="1"/>
  <c r="E26" i="2" l="1"/>
  <c r="I25" i="2"/>
  <c r="G27" i="2"/>
  <c r="F27" i="2" s="1"/>
  <c r="J27" i="2" s="1"/>
  <c r="E27" i="2" l="1"/>
  <c r="I26" i="2"/>
  <c r="G28" i="2"/>
  <c r="F28" i="2" s="1"/>
  <c r="J28" i="2" s="1"/>
  <c r="E28" i="2" l="1"/>
  <c r="I27" i="2"/>
  <c r="G29" i="2"/>
  <c r="F29" i="2" s="1"/>
  <c r="J29" i="2" s="1"/>
  <c r="E29" i="2" l="1"/>
  <c r="I28" i="2"/>
  <c r="G30" i="2"/>
  <c r="F30" i="2" s="1"/>
  <c r="J30" i="2" s="1"/>
  <c r="E30" i="2" l="1"/>
  <c r="I29" i="2"/>
  <c r="G31" i="2"/>
  <c r="F31" i="2" s="1"/>
  <c r="J31" i="2" s="1"/>
  <c r="E31" i="2" l="1"/>
  <c r="I30" i="2"/>
  <c r="G32" i="2"/>
  <c r="F32" i="2" s="1"/>
  <c r="J32" i="2" s="1"/>
  <c r="E32" i="2" l="1"/>
  <c r="I31" i="2"/>
  <c r="G33" i="2"/>
  <c r="F33" i="2" s="1"/>
  <c r="J33" i="2" s="1"/>
  <c r="E33" i="2" l="1"/>
  <c r="I32" i="2"/>
  <c r="G34" i="2"/>
  <c r="F34" i="2" s="1"/>
  <c r="J34" i="2" s="1"/>
  <c r="E34" i="2" l="1"/>
  <c r="I33" i="2"/>
  <c r="G35" i="2"/>
  <c r="F35" i="2" s="1"/>
  <c r="J35" i="2" s="1"/>
  <c r="E35" i="2" l="1"/>
  <c r="I34" i="2"/>
  <c r="G36" i="2"/>
  <c r="F36" i="2" s="1"/>
  <c r="J36" i="2" s="1"/>
  <c r="E36" i="2" l="1"/>
  <c r="I35" i="2"/>
  <c r="G37" i="2"/>
  <c r="F37" i="2" s="1"/>
  <c r="J37" i="2" s="1"/>
  <c r="E37" i="2" l="1"/>
  <c r="I36" i="2"/>
  <c r="G38" i="2"/>
  <c r="F38" i="2" s="1"/>
  <c r="J38" i="2" s="1"/>
  <c r="E38" i="2" l="1"/>
  <c r="I37" i="2"/>
  <c r="G39" i="2"/>
  <c r="F39" i="2" s="1"/>
  <c r="J39" i="2" s="1"/>
  <c r="E39" i="2" l="1"/>
  <c r="I38" i="2"/>
  <c r="G40" i="2"/>
  <c r="F40" i="2" s="1"/>
  <c r="J40" i="2" s="1"/>
  <c r="E40" i="2" l="1"/>
  <c r="I39" i="2"/>
  <c r="G41" i="2"/>
  <c r="F41" i="2" s="1"/>
  <c r="J41" i="2" s="1"/>
  <c r="E41" i="2" l="1"/>
  <c r="I40" i="2"/>
  <c r="G42" i="2"/>
  <c r="F42" i="2" s="1"/>
  <c r="J42" i="2" s="1"/>
  <c r="E42" i="2" l="1"/>
  <c r="I41" i="2"/>
  <c r="G43" i="2"/>
  <c r="F43" i="2" s="1"/>
  <c r="J43" i="2" s="1"/>
  <c r="E43" i="2" l="1"/>
  <c r="I42" i="2"/>
  <c r="G44" i="2"/>
  <c r="F44" i="2" s="1"/>
  <c r="J44" i="2" s="1"/>
  <c r="E44" i="2" l="1"/>
  <c r="I43" i="2"/>
  <c r="G45" i="2"/>
  <c r="F45" i="2" s="1"/>
  <c r="J45" i="2" s="1"/>
  <c r="E45" i="2" l="1"/>
  <c r="I44" i="2"/>
  <c r="G46" i="2"/>
  <c r="F46" i="2" s="1"/>
  <c r="J46" i="2" s="1"/>
  <c r="E46" i="2" l="1"/>
  <c r="I45" i="2"/>
  <c r="G47" i="2"/>
  <c r="F47" i="2" s="1"/>
  <c r="J47" i="2" s="1"/>
  <c r="E47" i="2" l="1"/>
  <c r="I46" i="2"/>
  <c r="G48" i="2"/>
  <c r="F48" i="2" s="1"/>
  <c r="J48" i="2" s="1"/>
  <c r="E48" i="2" l="1"/>
  <c r="I47" i="2"/>
  <c r="G49" i="2"/>
  <c r="F49" i="2" s="1"/>
  <c r="J49" i="2" s="1"/>
  <c r="E49" i="2" l="1"/>
  <c r="I48" i="2"/>
  <c r="G50" i="2"/>
  <c r="F50" i="2" s="1"/>
  <c r="J50" i="2" s="1"/>
  <c r="E50" i="2" l="1"/>
  <c r="I49" i="2"/>
  <c r="G51" i="2"/>
  <c r="F51" i="2" s="1"/>
  <c r="J51" i="2" s="1"/>
  <c r="E51" i="2" l="1"/>
  <c r="I50" i="2"/>
  <c r="G52" i="2"/>
  <c r="F52" i="2" s="1"/>
  <c r="J52" i="2" s="1"/>
  <c r="E52" i="2" l="1"/>
  <c r="I51" i="2"/>
  <c r="G53" i="2"/>
  <c r="F53" i="2" s="1"/>
  <c r="J53" i="2" s="1"/>
  <c r="E53" i="2" l="1"/>
  <c r="I52" i="2"/>
  <c r="G54" i="2"/>
  <c r="F54" i="2" s="1"/>
  <c r="J54" i="2" s="1"/>
  <c r="E54" i="2" l="1"/>
  <c r="I53" i="2"/>
  <c r="G55" i="2"/>
  <c r="F55" i="2" s="1"/>
  <c r="J55" i="2" s="1"/>
  <c r="E55" i="2" l="1"/>
  <c r="I54" i="2"/>
  <c r="G56" i="2"/>
  <c r="F56" i="2" s="1"/>
  <c r="J56" i="2" s="1"/>
  <c r="E56" i="2" l="1"/>
  <c r="I55" i="2"/>
  <c r="G57" i="2"/>
  <c r="F57" i="2" s="1"/>
  <c r="J57" i="2" s="1"/>
  <c r="E57" i="2" l="1"/>
  <c r="I56" i="2"/>
  <c r="G58" i="2"/>
  <c r="F58" i="2" s="1"/>
  <c r="J58" i="2" s="1"/>
  <c r="E58" i="2" l="1"/>
  <c r="I57" i="2"/>
  <c r="G59" i="2"/>
  <c r="F59" i="2" s="1"/>
  <c r="J59" i="2" s="1"/>
  <c r="E59" i="2" l="1"/>
  <c r="I58" i="2"/>
  <c r="G60" i="2"/>
  <c r="F60" i="2" s="1"/>
  <c r="J60" i="2" s="1"/>
  <c r="E60" i="2" l="1"/>
  <c r="I59" i="2"/>
  <c r="G61" i="2"/>
  <c r="F61" i="2" s="1"/>
  <c r="J61" i="2" s="1"/>
  <c r="E61" i="2" l="1"/>
  <c r="I60" i="2"/>
  <c r="G62" i="2"/>
  <c r="F62" i="2" s="1"/>
  <c r="J62" i="2" s="1"/>
  <c r="E62" i="2" l="1"/>
  <c r="I61" i="2"/>
  <c r="G63" i="2"/>
  <c r="F63" i="2" s="1"/>
  <c r="J63" i="2" s="1"/>
  <c r="E63" i="2" l="1"/>
  <c r="I62" i="2"/>
  <c r="G64" i="2"/>
  <c r="F64" i="2" s="1"/>
  <c r="J64" i="2" s="1"/>
  <c r="E64" i="2" l="1"/>
  <c r="I63" i="2"/>
  <c r="G65" i="2"/>
  <c r="F65" i="2" s="1"/>
  <c r="J65" i="2" s="1"/>
  <c r="E65" i="2" l="1"/>
  <c r="I64" i="2"/>
  <c r="G66" i="2"/>
  <c r="F66" i="2" s="1"/>
  <c r="J66" i="2" s="1"/>
  <c r="E66" i="2" l="1"/>
  <c r="I65" i="2"/>
  <c r="G67" i="2"/>
  <c r="F67" i="2" s="1"/>
  <c r="J67" i="2" s="1"/>
  <c r="E67" i="2" l="1"/>
  <c r="I66" i="2"/>
  <c r="G68" i="2"/>
  <c r="F68" i="2" s="1"/>
  <c r="J68" i="2" s="1"/>
  <c r="E68" i="2" l="1"/>
  <c r="I67" i="2"/>
  <c r="G69" i="2"/>
  <c r="F69" i="2" s="1"/>
  <c r="J69" i="2" s="1"/>
  <c r="E69" i="2" l="1"/>
  <c r="I68" i="2"/>
  <c r="G70" i="2"/>
  <c r="F70" i="2" s="1"/>
  <c r="J70" i="2" s="1"/>
  <c r="E70" i="2" l="1"/>
  <c r="I69" i="2"/>
  <c r="G71" i="2"/>
  <c r="F71" i="2" s="1"/>
  <c r="J71" i="2" s="1"/>
  <c r="E71" i="2" l="1"/>
  <c r="I70" i="2"/>
  <c r="G72" i="2"/>
  <c r="F72" i="2" s="1"/>
  <c r="J72" i="2" s="1"/>
  <c r="E72" i="2" l="1"/>
  <c r="I71" i="2"/>
  <c r="G73" i="2"/>
  <c r="F73" i="2" s="1"/>
  <c r="J73" i="2" s="1"/>
  <c r="E73" i="2" l="1"/>
  <c r="I72" i="2"/>
  <c r="G74" i="2"/>
  <c r="F74" i="2" s="1"/>
  <c r="J74" i="2" s="1"/>
  <c r="H7" i="2" s="1"/>
  <c r="E74" i="2" l="1"/>
  <c r="I74" i="2" s="1"/>
  <c r="I73" i="2"/>
  <c r="H8" i="2" l="1"/>
</calcChain>
</file>

<file path=xl/sharedStrings.xml><?xml version="1.0" encoding="utf-8"?>
<sst xmlns="http://schemas.openxmlformats.org/spreadsheetml/2006/main" count="171" uniqueCount="146">
  <si>
    <t>Payment made at rate of s per year</t>
  </si>
  <si>
    <t>Expected Payments</t>
  </si>
  <si>
    <t>Discount Factor</t>
  </si>
  <si>
    <t>Prob. of Survival</t>
  </si>
  <si>
    <t>PV of EXP Payment</t>
  </si>
  <si>
    <t>Expected Accrual</t>
  </si>
  <si>
    <t>Default Prob</t>
  </si>
  <si>
    <t>% of Notional</t>
  </si>
  <si>
    <t>PV of:</t>
  </si>
  <si>
    <t>Payoffs by the CDS Seller (Protection Seller)</t>
  </si>
  <si>
    <t>Total:</t>
  </si>
  <si>
    <t>Months</t>
  </si>
  <si>
    <r>
      <rPr>
        <b/>
        <sz val="16"/>
        <color rgb="FF3A383A"/>
        <rFont val="Arial"/>
        <family val="2"/>
      </rPr>
      <t xml:space="preserve">2020 </t>
    </r>
    <r>
      <rPr>
        <b/>
        <sz val="16"/>
        <color rgb="FF2A2A2A"/>
        <rFont val="Arial"/>
        <family val="2"/>
      </rPr>
      <t xml:space="preserve">Net </t>
    </r>
    <r>
      <rPr>
        <b/>
        <sz val="16"/>
        <color rgb="FF3A383A"/>
        <rFont val="Arial"/>
        <family val="2"/>
      </rPr>
      <t xml:space="preserve">Asset Values and </t>
    </r>
    <r>
      <rPr>
        <b/>
        <sz val="16"/>
        <color rgb="FF2A2A2A"/>
        <rFont val="Arial"/>
        <family val="2"/>
      </rPr>
      <t>Returns*</t>
    </r>
  </si>
  <si>
    <r>
      <rPr>
        <sz val="10"/>
        <color rgb="FF858583"/>
        <rFont val="Arial"/>
        <family val="2"/>
      </rPr>
      <t xml:space="preserve">As </t>
    </r>
    <r>
      <rPr>
        <sz val="10"/>
        <color rgb="FF6B6B6D"/>
        <rFont val="Arial"/>
        <family val="2"/>
      </rPr>
      <t>of D</t>
    </r>
    <r>
      <rPr>
        <sz val="10"/>
        <color rgb="FF858583"/>
        <rFont val="Arial"/>
        <family val="2"/>
      </rPr>
      <t>a</t>
    </r>
    <r>
      <rPr>
        <sz val="10"/>
        <color rgb="FF6B6B6D"/>
        <rFont val="Arial"/>
        <family val="2"/>
      </rPr>
      <t>te</t>
    </r>
  </si>
  <si>
    <r>
      <rPr>
        <b/>
        <sz val="10"/>
        <color rgb="FF858583"/>
        <rFont val="Times New Roman"/>
        <family val="1"/>
      </rPr>
      <t>P</t>
    </r>
    <r>
      <rPr>
        <b/>
        <sz val="10"/>
        <color rgb="FF6B6B6D"/>
        <rFont val="Times New Roman"/>
        <family val="1"/>
      </rPr>
      <t>er</t>
    </r>
    <r>
      <rPr>
        <b/>
        <sz val="10"/>
        <color rgb="FF858583"/>
        <rFont val="Times New Roman"/>
        <family val="1"/>
      </rPr>
      <t>i</t>
    </r>
    <r>
      <rPr>
        <b/>
        <sz val="10"/>
        <color rgb="FF6B6B6D"/>
        <rFont val="Times New Roman"/>
        <family val="1"/>
      </rPr>
      <t>od</t>
    </r>
  </si>
  <si>
    <r>
      <rPr>
        <sz val="10"/>
        <color rgb="FF858583"/>
        <rFont val="Arial"/>
        <family val="2"/>
      </rPr>
      <t>U</t>
    </r>
    <r>
      <rPr>
        <sz val="10"/>
        <color rgb="FF6B6B6D"/>
        <rFont val="Arial"/>
        <family val="2"/>
      </rPr>
      <t xml:space="preserve">SD
</t>
    </r>
    <r>
      <rPr>
        <sz val="10"/>
        <color rgb="FF6B6B6D"/>
        <rFont val="Arial"/>
        <family val="2"/>
      </rPr>
      <t>N</t>
    </r>
    <r>
      <rPr>
        <sz val="10"/>
        <color rgb="FF858583"/>
        <rFont val="Arial"/>
        <family val="2"/>
      </rPr>
      <t>A</t>
    </r>
    <r>
      <rPr>
        <sz val="10"/>
        <color rgb="FF6B6B6D"/>
        <rFont val="Arial"/>
        <family val="2"/>
      </rPr>
      <t>V</t>
    </r>
    <r>
      <rPr>
        <sz val="10"/>
        <color rgb="FF858583"/>
        <rFont val="Arial"/>
        <family val="2"/>
      </rPr>
      <t>/</t>
    </r>
    <r>
      <rPr>
        <sz val="10"/>
        <color rgb="FF6B6B6D"/>
        <rFont val="Arial"/>
        <family val="2"/>
      </rPr>
      <t>S</t>
    </r>
    <r>
      <rPr>
        <sz val="10"/>
        <color rgb="FF858583"/>
        <rFont val="Arial"/>
        <family val="2"/>
      </rPr>
      <t>h</t>
    </r>
    <r>
      <rPr>
        <sz val="10"/>
        <color rgb="FF6B6B6D"/>
        <rFont val="Arial"/>
        <family val="2"/>
      </rPr>
      <t>are</t>
    </r>
  </si>
  <si>
    <r>
      <rPr>
        <b/>
        <sz val="8"/>
        <color rgb="FF6B6B6D"/>
        <rFont val="Arial"/>
        <family val="2"/>
      </rPr>
      <t>E</t>
    </r>
    <r>
      <rPr>
        <b/>
        <sz val="8"/>
        <color rgb="FF858583"/>
        <rFont val="Arial"/>
        <family val="2"/>
      </rPr>
      <t>ur</t>
    </r>
    <r>
      <rPr>
        <b/>
        <sz val="8"/>
        <color rgb="FF6B6B6D"/>
        <rFont val="Arial"/>
        <family val="2"/>
      </rPr>
      <t>one</t>
    </r>
    <r>
      <rPr>
        <b/>
        <sz val="8"/>
        <color rgb="FF858583"/>
        <rFont val="Arial"/>
        <family val="2"/>
      </rPr>
      <t xml:space="preserve">xt
</t>
    </r>
    <r>
      <rPr>
        <sz val="10"/>
        <color rgb="FF858583"/>
        <rFont val="Arial"/>
        <family val="2"/>
      </rPr>
      <t>Pri</t>
    </r>
    <r>
      <rPr>
        <sz val="10"/>
        <color rgb="FF6B6B6D"/>
        <rFont val="Arial"/>
        <family val="2"/>
      </rPr>
      <t>ce</t>
    </r>
    <r>
      <rPr>
        <sz val="10"/>
        <color rgb="FF858583"/>
        <rFont val="Arial"/>
        <family val="2"/>
      </rPr>
      <t>/</t>
    </r>
    <r>
      <rPr>
        <sz val="10"/>
        <color rgb="FF6B6B6D"/>
        <rFont val="Arial"/>
        <family val="2"/>
      </rPr>
      <t>S</t>
    </r>
    <r>
      <rPr>
        <sz val="10"/>
        <color rgb="FF858583"/>
        <rFont val="Arial"/>
        <family val="2"/>
      </rPr>
      <t>h</t>
    </r>
    <r>
      <rPr>
        <sz val="10"/>
        <color rgb="FF6B6B6D"/>
        <rFont val="Arial"/>
        <family val="2"/>
      </rPr>
      <t>are</t>
    </r>
  </si>
  <si>
    <r>
      <rPr>
        <sz val="10"/>
        <color rgb="FF6B6B6D"/>
        <rFont val="Arial"/>
        <family val="2"/>
      </rPr>
      <t>GB</t>
    </r>
    <r>
      <rPr>
        <sz val="10"/>
        <color rgb="FF858583"/>
        <rFont val="Arial"/>
        <family val="2"/>
      </rPr>
      <t xml:space="preserve">P
</t>
    </r>
    <r>
      <rPr>
        <sz val="10"/>
        <color rgb="FF6B6B6D"/>
        <rFont val="Arial"/>
        <family val="2"/>
      </rPr>
      <t>N</t>
    </r>
    <r>
      <rPr>
        <sz val="10"/>
        <color rgb="FF858583"/>
        <rFont val="Arial"/>
        <family val="2"/>
      </rPr>
      <t>AV/</t>
    </r>
    <r>
      <rPr>
        <sz val="10"/>
        <color rgb="FF6B6B6D"/>
        <rFont val="Arial"/>
        <family val="2"/>
      </rPr>
      <t>S</t>
    </r>
    <r>
      <rPr>
        <sz val="10"/>
        <color rgb="FF9AA3A5"/>
        <rFont val="Arial"/>
        <family val="2"/>
      </rPr>
      <t>l'l</t>
    </r>
    <r>
      <rPr>
        <sz val="10"/>
        <color rgb="FF6B6B6D"/>
        <rFont val="Arial"/>
        <family val="2"/>
      </rPr>
      <t>are</t>
    </r>
  </si>
  <si>
    <r>
      <rPr>
        <sz val="10"/>
        <color rgb="FF6B6B6D"/>
        <rFont val="Arial"/>
        <family val="2"/>
      </rPr>
      <t>L</t>
    </r>
    <r>
      <rPr>
        <sz val="10"/>
        <color rgb="FF858583"/>
        <rFont val="Arial"/>
        <family val="2"/>
      </rPr>
      <t xml:space="preserve">SE </t>
    </r>
    <r>
      <rPr>
        <sz val="10"/>
        <color rgb="FF6B6B6D"/>
        <rFont val="Arial"/>
        <family val="2"/>
      </rPr>
      <t>GB</t>
    </r>
    <r>
      <rPr>
        <sz val="10"/>
        <color rgb="FF858583"/>
        <rFont val="Arial"/>
        <family val="2"/>
      </rPr>
      <t xml:space="preserve">P
</t>
    </r>
    <r>
      <rPr>
        <sz val="10"/>
        <color rgb="FF858583"/>
        <rFont val="Arial"/>
        <family val="2"/>
      </rPr>
      <t>Pri</t>
    </r>
    <r>
      <rPr>
        <sz val="10"/>
        <color rgb="FF6B6B6D"/>
        <rFont val="Arial"/>
        <family val="2"/>
      </rPr>
      <t>ce</t>
    </r>
    <r>
      <rPr>
        <sz val="10"/>
        <color rgb="FF858583"/>
        <rFont val="Arial"/>
        <family val="2"/>
      </rPr>
      <t>/Sh</t>
    </r>
    <r>
      <rPr>
        <sz val="10"/>
        <color rgb="FF6B6B6D"/>
        <rFont val="Arial"/>
        <family val="2"/>
      </rPr>
      <t>are</t>
    </r>
  </si>
  <si>
    <r>
      <rPr>
        <sz val="10"/>
        <color rgb="FF6B6B6D"/>
        <rFont val="Arial"/>
        <family val="2"/>
      </rPr>
      <t>LSE</t>
    </r>
    <r>
      <rPr>
        <sz val="10"/>
        <color rgb="FF858583"/>
        <rFont val="Arial"/>
        <family val="2"/>
      </rPr>
      <t>US</t>
    </r>
    <r>
      <rPr>
        <sz val="10"/>
        <color rgb="FF6B6B6D"/>
        <rFont val="Arial"/>
        <family val="2"/>
      </rPr>
      <t xml:space="preserve">D
</t>
    </r>
    <r>
      <rPr>
        <sz val="10"/>
        <color rgb="FF858583"/>
        <rFont val="Arial"/>
        <family val="2"/>
      </rPr>
      <t>Pri</t>
    </r>
    <r>
      <rPr>
        <sz val="10"/>
        <color rgb="FF6B6B6D"/>
        <rFont val="Arial"/>
        <family val="2"/>
      </rPr>
      <t>ce</t>
    </r>
    <r>
      <rPr>
        <sz val="10"/>
        <color rgb="FF858583"/>
        <rFont val="Arial"/>
        <family val="2"/>
      </rPr>
      <t>/Sh</t>
    </r>
    <r>
      <rPr>
        <sz val="10"/>
        <color rgb="FF6B6B6D"/>
        <rFont val="Arial"/>
        <family val="2"/>
      </rPr>
      <t>are</t>
    </r>
  </si>
  <si>
    <r>
      <rPr>
        <sz val="10"/>
        <color rgb="FF858583"/>
        <rFont val="Arial"/>
        <family val="2"/>
      </rPr>
      <t>M</t>
    </r>
    <r>
      <rPr>
        <sz val="10"/>
        <color rgb="FF9AA3A5"/>
        <rFont val="Arial"/>
        <family val="2"/>
      </rPr>
      <t>T</t>
    </r>
    <r>
      <rPr>
        <sz val="10"/>
        <color rgb="FF6B6B6D"/>
        <rFont val="Arial"/>
        <family val="2"/>
      </rPr>
      <t xml:space="preserve">D
</t>
    </r>
    <r>
      <rPr>
        <b/>
        <sz val="9"/>
        <color rgb="FF858583"/>
        <rFont val="Arial"/>
        <family val="2"/>
      </rPr>
      <t>R</t>
    </r>
    <r>
      <rPr>
        <b/>
        <sz val="9"/>
        <color rgb="FF6B6B6D"/>
        <rFont val="Arial"/>
        <family val="2"/>
      </rPr>
      <t>et</t>
    </r>
    <r>
      <rPr>
        <b/>
        <sz val="9"/>
        <color rgb="FF858583"/>
        <rFont val="Arial"/>
        <family val="2"/>
      </rPr>
      <t>u</t>
    </r>
    <r>
      <rPr>
        <b/>
        <sz val="9"/>
        <color rgb="FF6B6B6D"/>
        <rFont val="Arial"/>
        <family val="2"/>
      </rPr>
      <t>rn</t>
    </r>
  </si>
  <si>
    <r>
      <rPr>
        <sz val="10"/>
        <color rgb="FF6B6B6D"/>
        <rFont val="Arial"/>
        <family val="2"/>
      </rPr>
      <t>O</t>
    </r>
    <r>
      <rPr>
        <sz val="10"/>
        <color rgb="FF9AA3A5"/>
        <rFont val="Arial"/>
        <family val="2"/>
      </rPr>
      <t>T</t>
    </r>
    <r>
      <rPr>
        <sz val="10"/>
        <color rgb="FF6B6B6D"/>
        <rFont val="Arial"/>
        <family val="2"/>
      </rPr>
      <t xml:space="preserve">D
</t>
    </r>
    <r>
      <rPr>
        <sz val="10"/>
        <color rgb="FF858583"/>
        <rFont val="Arial"/>
        <family val="2"/>
      </rPr>
      <t>R</t>
    </r>
    <r>
      <rPr>
        <sz val="10"/>
        <color rgb="FF6B6B6D"/>
        <rFont val="Arial"/>
        <family val="2"/>
      </rPr>
      <t>et</t>
    </r>
    <r>
      <rPr>
        <sz val="10"/>
        <color rgb="FF858583"/>
        <rFont val="Arial"/>
        <family val="2"/>
      </rPr>
      <t>u</t>
    </r>
    <r>
      <rPr>
        <sz val="10"/>
        <color rgb="FF6B6B6D"/>
        <rFont val="Arial"/>
        <family val="2"/>
      </rPr>
      <t>rn</t>
    </r>
  </si>
  <si>
    <r>
      <rPr>
        <sz val="10"/>
        <color rgb="FF9AA3A5"/>
        <rFont val="Arial"/>
        <family val="2"/>
      </rPr>
      <t>YT</t>
    </r>
    <r>
      <rPr>
        <sz val="10"/>
        <color rgb="FF6B6B6D"/>
        <rFont val="Arial"/>
        <family val="2"/>
      </rPr>
      <t xml:space="preserve">D
</t>
    </r>
    <r>
      <rPr>
        <b/>
        <sz val="9"/>
        <color rgb="FF858583"/>
        <rFont val="Arial"/>
        <family val="2"/>
      </rPr>
      <t>R</t>
    </r>
    <r>
      <rPr>
        <b/>
        <sz val="9"/>
        <color rgb="FF6B6B6D"/>
        <rFont val="Arial"/>
        <family val="2"/>
      </rPr>
      <t>et</t>
    </r>
    <r>
      <rPr>
        <b/>
        <sz val="9"/>
        <color rgb="FF858583"/>
        <rFont val="Arial"/>
        <family val="2"/>
      </rPr>
      <t>u</t>
    </r>
    <r>
      <rPr>
        <b/>
        <sz val="9"/>
        <color rgb="FF6B6B6D"/>
        <rFont val="Arial"/>
        <family val="2"/>
      </rPr>
      <t>rn</t>
    </r>
  </si>
  <si>
    <r>
      <rPr>
        <sz val="10"/>
        <color rgb="FF858583"/>
        <rFont val="Arial"/>
        <family val="2"/>
      </rPr>
      <t>1</t>
    </r>
    <r>
      <rPr>
        <sz val="10"/>
        <color rgb="FF6B6B6D"/>
        <rFont val="Arial"/>
        <family val="2"/>
      </rPr>
      <t>2 Ma</t>
    </r>
    <r>
      <rPr>
        <sz val="10"/>
        <color rgb="FF858583"/>
        <rFont val="Arial"/>
        <family val="2"/>
      </rPr>
      <t>y</t>
    </r>
  </si>
  <si>
    <r>
      <rPr>
        <sz val="10"/>
        <color rgb="FF6B6B6D"/>
        <rFont val="Arial"/>
        <family val="2"/>
      </rPr>
      <t>Weekly</t>
    </r>
  </si>
  <si>
    <r>
      <rPr>
        <sz val="10"/>
        <color rgb="FF6B6B6D"/>
        <rFont val="Arial"/>
        <family val="2"/>
      </rPr>
      <t>-0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6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</si>
  <si>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12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9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</si>
  <si>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16.</t>
    </r>
    <r>
      <rPr>
        <sz val="10"/>
        <color rgb="FF858583"/>
        <rFont val="Arial"/>
        <family val="2"/>
      </rPr>
      <t>5%</t>
    </r>
  </si>
  <si>
    <r>
      <rPr>
        <sz val="10"/>
        <color rgb="FF6B6B6D"/>
        <rFont val="Arial"/>
        <family val="2"/>
      </rPr>
      <t>5 Ma</t>
    </r>
    <r>
      <rPr>
        <sz val="10"/>
        <color rgb="FF858583"/>
        <rFont val="Arial"/>
        <family val="2"/>
      </rPr>
      <t>y</t>
    </r>
  </si>
  <si>
    <r>
      <rPr>
        <sz val="10"/>
        <color rgb="FF6B6B6D"/>
        <rFont val="Arial"/>
        <family val="2"/>
      </rPr>
      <t xml:space="preserve">Week </t>
    </r>
    <r>
      <rPr>
        <sz val="10"/>
        <color rgb="FF54484F"/>
        <rFont val="Arial"/>
        <family val="2"/>
      </rPr>
      <t>l</t>
    </r>
    <r>
      <rPr>
        <sz val="10"/>
        <color rgb="FF858583"/>
        <rFont val="Arial"/>
        <family val="2"/>
      </rPr>
      <t>y</t>
    </r>
  </si>
  <si>
    <r>
      <rPr>
        <sz val="10"/>
        <color rgb="FF6B6B6D"/>
        <rFont val="Arial"/>
        <family val="2"/>
      </rPr>
      <t xml:space="preserve">£24 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93</t>
    </r>
  </si>
  <si>
    <r>
      <rPr>
        <sz val="10"/>
        <color rgb="FF6B6B6D"/>
        <rFont val="Arial"/>
        <family val="2"/>
      </rPr>
      <t>-1.5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</si>
  <si>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1</t>
    </r>
    <r>
      <rPr>
        <sz val="10"/>
        <color rgb="FF858583"/>
        <rFont val="Arial"/>
        <family val="2"/>
      </rPr>
      <t>1</t>
    </r>
    <r>
      <rPr>
        <sz val="10"/>
        <color rgb="FF54484F"/>
        <rFont val="Arial"/>
        <family val="2"/>
      </rPr>
      <t>.</t>
    </r>
    <r>
      <rPr>
        <sz val="10"/>
        <color rgb="FF6B6B6D"/>
        <rFont val="Arial"/>
        <family val="2"/>
      </rPr>
      <t>9</t>
    </r>
    <r>
      <rPr>
        <sz val="10"/>
        <color rgb="FF858583"/>
        <rFont val="Arial"/>
        <family val="2"/>
      </rPr>
      <t>%</t>
    </r>
  </si>
  <si>
    <r>
      <rPr>
        <sz val="10"/>
        <color rgb="FF858583"/>
        <rFont val="Arial"/>
        <family val="2"/>
      </rPr>
      <t>1</t>
    </r>
    <r>
      <rPr>
        <sz val="10"/>
        <color rgb="FF6B6B6D"/>
        <rFont val="Arial"/>
        <family val="2"/>
      </rPr>
      <t>5.5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</si>
  <si>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30April</t>
    </r>
  </si>
  <si>
    <r>
      <rPr>
        <sz val="10"/>
        <color rgb="FF858583"/>
        <rFont val="Arial"/>
        <family val="2"/>
      </rPr>
      <t>M</t>
    </r>
    <r>
      <rPr>
        <sz val="10"/>
        <color rgb="FF6B6B6D"/>
        <rFont val="Arial"/>
        <family val="2"/>
      </rPr>
      <t>ont</t>
    </r>
    <r>
      <rPr>
        <sz val="10"/>
        <color rgb="FF858583"/>
        <rFont val="Arial"/>
        <family val="2"/>
      </rPr>
      <t>h</t>
    </r>
    <r>
      <rPr>
        <sz val="10"/>
        <color rgb="FF9AA3A5"/>
        <rFont val="Arial"/>
        <family val="2"/>
      </rPr>
      <t>l</t>
    </r>
    <r>
      <rPr>
        <sz val="10"/>
        <color rgb="FF858583"/>
        <rFont val="Arial"/>
        <family val="2"/>
      </rPr>
      <t>y</t>
    </r>
  </si>
  <si>
    <r>
      <rPr>
        <sz val="10"/>
        <color rgb="FF858583"/>
        <rFont val="Arial"/>
        <family val="2"/>
      </rPr>
      <t>13.</t>
    </r>
    <r>
      <rPr>
        <sz val="10"/>
        <color rgb="FF6B6B6D"/>
        <rFont val="Arial"/>
        <family val="2"/>
      </rPr>
      <t>6</t>
    </r>
    <r>
      <rPr>
        <sz val="10"/>
        <color rgb="FF858583"/>
        <rFont val="Arial"/>
        <family val="2"/>
      </rPr>
      <t>%</t>
    </r>
  </si>
  <si>
    <r>
      <rPr>
        <sz val="10"/>
        <color rgb="FF858583"/>
        <rFont val="Arial"/>
        <family val="2"/>
      </rPr>
      <t>13</t>
    </r>
    <r>
      <rPr>
        <sz val="10"/>
        <color rgb="FF6B6B6D"/>
        <rFont val="Arial"/>
        <family val="2"/>
      </rPr>
      <t>.6</t>
    </r>
    <r>
      <rPr>
        <sz val="10"/>
        <color rgb="FF858583"/>
        <rFont val="Arial"/>
        <family val="2"/>
      </rPr>
      <t>%</t>
    </r>
  </si>
  <si>
    <r>
      <rPr>
        <sz val="10"/>
        <color rgb="FF858583"/>
        <rFont val="Arial"/>
        <family val="2"/>
      </rPr>
      <t>17</t>
    </r>
    <r>
      <rPr>
        <sz val="10"/>
        <color rgb="FF3A383A"/>
        <rFont val="Arial"/>
        <family val="2"/>
      </rPr>
      <t>.</t>
    </r>
    <r>
      <rPr>
        <sz val="10"/>
        <color rgb="FF858583"/>
        <rFont val="Arial"/>
        <family val="2"/>
      </rPr>
      <t>3%</t>
    </r>
  </si>
  <si>
    <r>
      <rPr>
        <sz val="10"/>
        <color rgb="FF6B6B6D"/>
        <rFont val="Arial"/>
        <family val="2"/>
      </rPr>
      <t>21Ap</t>
    </r>
    <r>
      <rPr>
        <sz val="10"/>
        <color rgb="FF858583"/>
        <rFont val="Arial"/>
        <family val="2"/>
      </rPr>
      <t>ril</t>
    </r>
  </si>
  <si>
    <r>
      <rPr>
        <sz val="10"/>
        <color rgb="FF6B6B6D"/>
        <rFont val="Arial"/>
        <family val="2"/>
      </rPr>
      <t>5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6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</si>
  <si>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9.0</t>
    </r>
    <r>
      <rPr>
        <sz val="10"/>
        <color rgb="FF858583"/>
        <rFont val="Arial"/>
        <family val="2"/>
      </rPr>
      <t>%</t>
    </r>
  </si>
  <si>
    <r>
      <rPr>
        <sz val="10"/>
        <color rgb="FF858583"/>
        <rFont val="Arial"/>
        <family val="2"/>
      </rPr>
      <t>14</t>
    </r>
    <r>
      <rPr>
        <sz val="10"/>
        <color rgb="FF6B6B6D"/>
        <rFont val="Arial"/>
        <family val="2"/>
      </rPr>
      <t>Ap</t>
    </r>
    <r>
      <rPr>
        <sz val="10"/>
        <color rgb="FF858583"/>
        <rFont val="Arial"/>
        <family val="2"/>
      </rPr>
      <t>r</t>
    </r>
    <r>
      <rPr>
        <sz val="10"/>
        <color rgb="FF9AA3A5"/>
        <rFont val="Arial"/>
        <family val="2"/>
      </rPr>
      <t>i</t>
    </r>
    <r>
      <rPr>
        <sz val="10"/>
        <color rgb="FF6B6B6D"/>
        <rFont val="Arial"/>
        <family val="2"/>
      </rPr>
      <t>l</t>
    </r>
  </si>
  <si>
    <r>
      <rPr>
        <sz val="10"/>
        <color rgb="FF6B6B6D"/>
        <rFont val="Arial"/>
        <family val="2"/>
      </rPr>
      <t>Week</t>
    </r>
    <r>
      <rPr>
        <sz val="10"/>
        <color rgb="FF54484F"/>
        <rFont val="Arial"/>
        <family val="2"/>
      </rPr>
      <t>l</t>
    </r>
    <r>
      <rPr>
        <sz val="10"/>
        <color rgb="FF858583"/>
        <rFont val="Arial"/>
        <family val="2"/>
      </rPr>
      <t>y</t>
    </r>
  </si>
  <si>
    <r>
      <rPr>
        <sz val="10"/>
        <color rgb="FF6B6B6D"/>
        <rFont val="Arial"/>
        <family val="2"/>
      </rPr>
      <t>$30 21</t>
    </r>
  </si>
  <si>
    <r>
      <rPr>
        <sz val="10"/>
        <color rgb="FF6B6B6D"/>
        <rFont val="Arial"/>
        <family val="2"/>
      </rPr>
      <t>9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0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</si>
  <si>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9.</t>
    </r>
    <r>
      <rPr>
        <sz val="10"/>
        <color rgb="FF858583"/>
        <rFont val="Arial"/>
        <family val="2"/>
      </rPr>
      <t>0%</t>
    </r>
  </si>
  <si>
    <r>
      <rPr>
        <sz val="10"/>
        <color rgb="FF858583"/>
        <rFont val="Arial"/>
        <family val="2"/>
      </rPr>
      <t>1</t>
    </r>
    <r>
      <rPr>
        <sz val="10"/>
        <color rgb="FF6B6B6D"/>
        <rFont val="Arial"/>
        <family val="2"/>
      </rPr>
      <t>2</t>
    </r>
    <r>
      <rPr>
        <sz val="10"/>
        <color rgb="FF858583"/>
        <rFont val="Arial"/>
        <family val="2"/>
      </rPr>
      <t>.5%</t>
    </r>
  </si>
  <si>
    <r>
      <rPr>
        <sz val="10"/>
        <color rgb="FF6B6B6D"/>
        <rFont val="Arial"/>
        <family val="2"/>
      </rPr>
      <t>7Apri</t>
    </r>
    <r>
      <rPr>
        <sz val="10"/>
        <color rgb="FF3A383A"/>
        <rFont val="Arial"/>
        <family val="2"/>
      </rPr>
      <t>l</t>
    </r>
  </si>
  <si>
    <r>
      <rPr>
        <sz val="10"/>
        <color rgb="FF6B6B6D"/>
        <rFont val="Arial"/>
        <family val="2"/>
      </rPr>
      <t xml:space="preserve">Week </t>
    </r>
    <r>
      <rPr>
        <sz val="10"/>
        <color rgb="FF54484F"/>
        <rFont val="Arial"/>
        <family val="2"/>
      </rPr>
      <t>l</t>
    </r>
    <r>
      <rPr>
        <sz val="10"/>
        <color rgb="FF6B6B6D"/>
        <rFont val="Arial"/>
        <family val="2"/>
      </rPr>
      <t>y</t>
    </r>
  </si>
  <si>
    <r>
      <rPr>
        <sz val="10"/>
        <color rgb="FF6B6B6D"/>
        <rFont val="Arial"/>
        <family val="2"/>
      </rPr>
      <t>2</t>
    </r>
    <r>
      <rPr>
        <sz val="10"/>
        <color rgb="FF3A383A"/>
        <rFont val="Arial"/>
        <family val="2"/>
      </rPr>
      <t>.</t>
    </r>
    <r>
      <rPr>
        <sz val="10"/>
        <color rgb="FF858583"/>
        <rFont val="Arial"/>
        <family val="2"/>
      </rPr>
      <t>3%</t>
    </r>
  </si>
  <si>
    <r>
      <rPr>
        <sz val="10"/>
        <color rgb="FF6B6B6D"/>
        <rFont val="Arial"/>
        <family val="2"/>
      </rPr>
      <t>2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3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</si>
  <si>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5.6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</si>
  <si>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31</t>
    </r>
    <r>
      <rPr>
        <sz val="10"/>
        <color rgb="FF858583"/>
        <rFont val="Arial"/>
        <family val="2"/>
      </rPr>
      <t>M</t>
    </r>
    <r>
      <rPr>
        <sz val="10"/>
        <color rgb="FF6B6B6D"/>
        <rFont val="Arial"/>
        <family val="2"/>
      </rPr>
      <t>a</t>
    </r>
    <r>
      <rPr>
        <sz val="10"/>
        <color rgb="FF858583"/>
        <rFont val="Arial"/>
        <family val="2"/>
      </rPr>
      <t>rc</t>
    </r>
    <r>
      <rPr>
        <sz val="10"/>
        <color rgb="FF6B6B6D"/>
        <rFont val="Arial"/>
        <family val="2"/>
      </rPr>
      <t>h</t>
    </r>
  </si>
  <si>
    <r>
      <rPr>
        <sz val="10"/>
        <color rgb="FF6B6B6D"/>
        <rFont val="Arial"/>
        <family val="2"/>
      </rPr>
      <t>£1</t>
    </r>
    <r>
      <rPr>
        <sz val="10"/>
        <color rgb="FF858583"/>
        <rFont val="Arial"/>
        <family val="2"/>
      </rPr>
      <t xml:space="preserve">4 </t>
    </r>
    <r>
      <rPr>
        <sz val="10"/>
        <color rgb="FF2A2A2A"/>
        <rFont val="Arial"/>
        <family val="2"/>
      </rPr>
      <t>.</t>
    </r>
    <r>
      <rPr>
        <sz val="10"/>
        <color rgb="FF6B6B6D"/>
        <rFont val="Arial"/>
        <family val="2"/>
      </rPr>
      <t>80</t>
    </r>
  </si>
  <si>
    <r>
      <rPr>
        <sz val="10"/>
        <color rgb="FF6B6B6D"/>
        <rFont val="Arial"/>
        <family val="2"/>
      </rPr>
      <t>11</t>
    </r>
    <r>
      <rPr>
        <sz val="10"/>
        <color rgb="FF2A2A2A"/>
        <rFont val="Arial"/>
        <family val="2"/>
      </rPr>
      <t>.</t>
    </r>
    <r>
      <rPr>
        <sz val="10"/>
        <color rgb="FF6B6B6D"/>
        <rFont val="Arial"/>
        <family val="2"/>
      </rPr>
      <t>1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</si>
  <si>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3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3</t>
    </r>
    <r>
      <rPr>
        <sz val="10"/>
        <color rgb="FF858583"/>
        <rFont val="Arial"/>
        <family val="2"/>
      </rPr>
      <t>%</t>
    </r>
  </si>
  <si>
    <r>
      <rPr>
        <sz val="10"/>
        <color rgb="FF858583"/>
        <rFont val="Arial"/>
        <family val="2"/>
      </rPr>
      <t>3</t>
    </r>
    <r>
      <rPr>
        <sz val="10"/>
        <color rgb="FF3A383A"/>
        <rFont val="Arial"/>
        <family val="2"/>
      </rPr>
      <t>.</t>
    </r>
    <r>
      <rPr>
        <sz val="10"/>
        <color rgb="FF858583"/>
        <rFont val="Arial"/>
        <family val="2"/>
      </rPr>
      <t>3%</t>
    </r>
  </si>
  <si>
    <r>
      <rPr>
        <sz val="10"/>
        <color rgb="FF6B6B6D"/>
        <rFont val="Arial"/>
        <family val="2"/>
      </rPr>
      <t>24Ma</t>
    </r>
    <r>
      <rPr>
        <sz val="10"/>
        <color rgb="FF858583"/>
        <rFont val="Arial"/>
        <family val="2"/>
      </rPr>
      <t>r</t>
    </r>
    <r>
      <rPr>
        <sz val="10"/>
        <color rgb="FF6B6B6D"/>
        <rFont val="Arial"/>
        <family val="2"/>
      </rPr>
      <t>ch</t>
    </r>
  </si>
  <si>
    <r>
      <rPr>
        <sz val="10"/>
        <color rgb="FF858583"/>
        <rFont val="Arial"/>
        <family val="2"/>
      </rPr>
      <t>7</t>
    </r>
    <r>
      <rPr>
        <sz val="10"/>
        <color rgb="FF2A2A2A"/>
        <rFont val="Arial"/>
        <family val="2"/>
      </rPr>
      <t>.</t>
    </r>
    <r>
      <rPr>
        <sz val="10"/>
        <color rgb="FF6B6B6D"/>
        <rFont val="Arial"/>
        <family val="2"/>
      </rPr>
      <t>9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</si>
  <si>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0.2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</si>
  <si>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0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2</t>
    </r>
    <r>
      <rPr>
        <sz val="10"/>
        <color rgb="FF858583"/>
        <rFont val="Arial"/>
        <family val="2"/>
      </rPr>
      <t>%</t>
    </r>
  </si>
  <si>
    <r>
      <rPr>
        <sz val="11"/>
        <color rgb="FF858583"/>
        <rFont val="Arial"/>
        <family val="2"/>
      </rPr>
      <t xml:space="preserve">17 </t>
    </r>
    <r>
      <rPr>
        <sz val="11"/>
        <color rgb="FF6B6B6D"/>
        <rFont val="Arial"/>
        <family val="2"/>
      </rPr>
      <t>Ma</t>
    </r>
    <r>
      <rPr>
        <sz val="11"/>
        <color rgb="FF858583"/>
        <rFont val="Arial"/>
        <family val="2"/>
      </rPr>
      <t>rch</t>
    </r>
  </si>
  <si>
    <r>
      <rPr>
        <sz val="10"/>
        <color rgb="FF6B6B6D"/>
        <rFont val="Arial"/>
        <family val="2"/>
      </rPr>
      <t>0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6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</si>
  <si>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-</t>
    </r>
    <r>
      <rPr>
        <sz val="10"/>
        <color rgb="FF858583"/>
        <rFont val="Arial"/>
        <family val="2"/>
      </rPr>
      <t>6.</t>
    </r>
    <r>
      <rPr>
        <sz val="10"/>
        <color rgb="FF6B6B6D"/>
        <rFont val="Arial"/>
        <family val="2"/>
      </rPr>
      <t>5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</si>
  <si>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-6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5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</si>
  <si>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9 Mar</t>
    </r>
    <r>
      <rPr>
        <sz val="10"/>
        <color rgb="FF858583"/>
        <rFont val="Arial"/>
        <family val="2"/>
      </rPr>
      <t>ch</t>
    </r>
  </si>
  <si>
    <r>
      <rPr>
        <sz val="10"/>
        <color rgb="FF6B6B6D"/>
        <rFont val="Arial"/>
        <family val="2"/>
      </rPr>
      <t>10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6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</si>
  <si>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2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8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</si>
  <si>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29Fe</t>
    </r>
    <r>
      <rPr>
        <sz val="10"/>
        <color rgb="FF858583"/>
        <rFont val="Arial"/>
        <family val="2"/>
      </rPr>
      <t>br</t>
    </r>
    <r>
      <rPr>
        <sz val="10"/>
        <color rgb="FF6B6B6D"/>
        <rFont val="Arial"/>
        <family val="2"/>
      </rPr>
      <t>u</t>
    </r>
    <r>
      <rPr>
        <sz val="10"/>
        <color rgb="FF858583"/>
        <rFont val="Arial"/>
        <family val="2"/>
      </rPr>
      <t>a</t>
    </r>
    <r>
      <rPr>
        <sz val="10"/>
        <color rgb="FF9AA3A5"/>
        <rFont val="Arial"/>
        <family val="2"/>
      </rPr>
      <t>r</t>
    </r>
    <r>
      <rPr>
        <sz val="10"/>
        <color rgb="FF858583"/>
        <rFont val="Arial"/>
        <family val="2"/>
      </rPr>
      <t>y</t>
    </r>
  </si>
  <si>
    <r>
      <rPr>
        <sz val="10"/>
        <color rgb="FF6B6B6D"/>
        <rFont val="Arial"/>
        <family val="2"/>
      </rPr>
      <t>-</t>
    </r>
    <r>
      <rPr>
        <sz val="10"/>
        <color rgb="FF858583"/>
        <rFont val="Arial"/>
        <family val="2"/>
      </rPr>
      <t>5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8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</si>
  <si>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-</t>
    </r>
    <r>
      <rPr>
        <sz val="10"/>
        <color rgb="FF858583"/>
        <rFont val="Arial"/>
        <family val="2"/>
      </rPr>
      <t>7</t>
    </r>
    <r>
      <rPr>
        <sz val="10"/>
        <color rgb="FF6B6B6D"/>
        <rFont val="Arial"/>
        <family val="2"/>
      </rPr>
      <t>.1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</si>
  <si>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-</t>
    </r>
    <r>
      <rPr>
        <sz val="10"/>
        <color rgb="FF858583"/>
        <rFont val="Arial"/>
        <family val="2"/>
      </rPr>
      <t>7</t>
    </r>
    <r>
      <rPr>
        <sz val="10"/>
        <color rgb="FF2A2A2A"/>
        <rFont val="Arial"/>
        <family val="2"/>
      </rPr>
      <t>.</t>
    </r>
    <r>
      <rPr>
        <sz val="10"/>
        <color rgb="FF6B6B6D"/>
        <rFont val="Arial"/>
        <family val="2"/>
      </rPr>
      <t>1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</si>
  <si>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25 Februar</t>
    </r>
    <r>
      <rPr>
        <sz val="10"/>
        <color rgb="FF858583"/>
        <rFont val="Arial"/>
        <family val="2"/>
      </rPr>
      <t>y</t>
    </r>
  </si>
  <si>
    <r>
      <rPr>
        <sz val="10"/>
        <color rgb="FF6B6B6D"/>
        <rFont val="Arial"/>
        <family val="2"/>
      </rPr>
      <t>-2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2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</si>
  <si>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-</t>
    </r>
    <r>
      <rPr>
        <sz val="10"/>
        <color rgb="FF858583"/>
        <rFont val="Arial"/>
        <family val="2"/>
      </rPr>
      <t>3.</t>
    </r>
    <r>
      <rPr>
        <sz val="10"/>
        <color rgb="FF6B6B6D"/>
        <rFont val="Arial"/>
        <family val="2"/>
      </rPr>
      <t>5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</si>
  <si>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-3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5</t>
    </r>
    <r>
      <rPr>
        <sz val="10"/>
        <color rgb="FF858583"/>
        <rFont val="Arial"/>
        <family val="2"/>
      </rPr>
      <t>%</t>
    </r>
  </si>
  <si>
    <r>
      <rPr>
        <sz val="10"/>
        <color rgb="FF858583"/>
        <rFont val="Arial"/>
        <family val="2"/>
      </rPr>
      <t>1</t>
    </r>
    <r>
      <rPr>
        <sz val="10"/>
        <color rgb="FF6B6B6D"/>
        <rFont val="Arial"/>
        <family val="2"/>
      </rPr>
      <t>8 Feb</t>
    </r>
    <r>
      <rPr>
        <sz val="10"/>
        <color rgb="FF9AA3A5"/>
        <rFont val="Arial"/>
        <family val="2"/>
      </rPr>
      <t>r</t>
    </r>
    <r>
      <rPr>
        <sz val="10"/>
        <color rgb="FF858583"/>
        <rFont val="Arial"/>
        <family val="2"/>
      </rPr>
      <t>u</t>
    </r>
    <r>
      <rPr>
        <sz val="10"/>
        <color rgb="FF6B6B6D"/>
        <rFont val="Arial"/>
        <family val="2"/>
      </rPr>
      <t>ar</t>
    </r>
    <r>
      <rPr>
        <sz val="10"/>
        <color rgb="FF858583"/>
        <rFont val="Arial"/>
        <family val="2"/>
      </rPr>
      <t>y</t>
    </r>
  </si>
  <si>
    <r>
      <rPr>
        <sz val="10"/>
        <color rgb="FF6B6B6D"/>
        <rFont val="Arial"/>
        <family val="2"/>
      </rPr>
      <t>Week</t>
    </r>
    <r>
      <rPr>
        <sz val="10"/>
        <color rgb="FF54484F"/>
        <rFont val="Arial"/>
        <family val="2"/>
      </rPr>
      <t>l</t>
    </r>
    <r>
      <rPr>
        <sz val="10"/>
        <color rgb="FF6B6B6D"/>
        <rFont val="Arial"/>
        <family val="2"/>
      </rPr>
      <t>y</t>
    </r>
  </si>
  <si>
    <r>
      <rPr>
        <sz val="10"/>
        <color rgb="FF6B6B6D"/>
        <rFont val="Arial"/>
        <family val="2"/>
      </rPr>
      <t>5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0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</si>
  <si>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3</t>
    </r>
    <r>
      <rPr>
        <sz val="10"/>
        <color rgb="FF858583"/>
        <rFont val="Arial"/>
        <family val="2"/>
      </rPr>
      <t>.7%</t>
    </r>
  </si>
  <si>
    <r>
      <rPr>
        <sz val="10"/>
        <color rgb="FF858583"/>
        <rFont val="Arial"/>
        <family val="2"/>
      </rPr>
      <t>3.7%</t>
    </r>
  </si>
  <si>
    <r>
      <rPr>
        <sz val="10"/>
        <color rgb="FF858583"/>
        <rFont val="Arial"/>
        <family val="2"/>
      </rPr>
      <t>1</t>
    </r>
    <r>
      <rPr>
        <sz val="10"/>
        <color rgb="FF6B6B6D"/>
        <rFont val="Arial"/>
        <family val="2"/>
      </rPr>
      <t>1</t>
    </r>
    <r>
      <rPr>
        <sz val="10"/>
        <color rgb="FF54484F"/>
        <rFont val="Arial"/>
        <family val="2"/>
      </rPr>
      <t>F</t>
    </r>
    <r>
      <rPr>
        <sz val="10"/>
        <color rgb="FF6B6B6D"/>
        <rFont val="Arial"/>
        <family val="2"/>
      </rPr>
      <t>e</t>
    </r>
    <r>
      <rPr>
        <sz val="10"/>
        <color rgb="FF858583"/>
        <rFont val="Arial"/>
        <family val="2"/>
      </rPr>
      <t>br</t>
    </r>
    <r>
      <rPr>
        <sz val="10"/>
        <color rgb="FF6B6B6D"/>
        <rFont val="Arial"/>
        <family val="2"/>
      </rPr>
      <t>ua</t>
    </r>
    <r>
      <rPr>
        <sz val="10"/>
        <color rgb="FF858583"/>
        <rFont val="Arial"/>
        <family val="2"/>
      </rPr>
      <t>ry</t>
    </r>
  </si>
  <si>
    <r>
      <rPr>
        <sz val="10"/>
        <color rgb="FF858583"/>
        <rFont val="Arial"/>
        <family val="2"/>
      </rPr>
      <t>4</t>
    </r>
    <r>
      <rPr>
        <sz val="10"/>
        <color rgb="FF6B6B6D"/>
        <rFont val="Arial"/>
        <family val="2"/>
      </rPr>
      <t>.3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</si>
  <si>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2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9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</si>
  <si>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2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9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</si>
  <si>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31Janua</t>
    </r>
    <r>
      <rPr>
        <sz val="10"/>
        <color rgb="FF858583"/>
        <rFont val="Arial"/>
        <family val="2"/>
      </rPr>
      <t>ry</t>
    </r>
  </si>
  <si>
    <r>
      <rPr>
        <sz val="10"/>
        <color rgb="FF6B6B6D"/>
        <rFont val="Arial"/>
        <family val="2"/>
      </rPr>
      <t>£1</t>
    </r>
    <r>
      <rPr>
        <sz val="10"/>
        <color rgb="FF858583"/>
        <rFont val="Arial"/>
        <family val="2"/>
      </rPr>
      <t xml:space="preserve">4 </t>
    </r>
    <r>
      <rPr>
        <sz val="10"/>
        <color rgb="FF54484F"/>
        <rFont val="Arial"/>
        <family val="2"/>
      </rPr>
      <t>.</t>
    </r>
    <r>
      <rPr>
        <sz val="10"/>
        <color rgb="FF6B6B6D"/>
        <rFont val="Arial"/>
        <family val="2"/>
      </rPr>
      <t>66</t>
    </r>
  </si>
  <si>
    <r>
      <rPr>
        <sz val="10"/>
        <color rgb="FF6B6B6D"/>
        <rFont val="Arial"/>
        <family val="2"/>
      </rPr>
      <t>-</t>
    </r>
    <r>
      <rPr>
        <sz val="10"/>
        <color rgb="FF858583"/>
        <rFont val="Arial"/>
        <family val="2"/>
      </rPr>
      <t>1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3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</si>
  <si>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-</t>
    </r>
    <r>
      <rPr>
        <sz val="10"/>
        <color rgb="FF858583"/>
        <rFont val="Arial"/>
        <family val="2"/>
      </rPr>
      <t>1</t>
    </r>
    <r>
      <rPr>
        <sz val="10"/>
        <color rgb="FF6B6B6D"/>
        <rFont val="Arial"/>
        <family val="2"/>
      </rPr>
      <t>.</t>
    </r>
    <r>
      <rPr>
        <sz val="10"/>
        <color rgb="FF858583"/>
        <rFont val="Arial"/>
        <family val="2"/>
      </rPr>
      <t>3%</t>
    </r>
  </si>
  <si>
    <r>
      <rPr>
        <sz val="10"/>
        <color rgb="FF6B6B6D"/>
        <rFont val="Arial"/>
        <family val="2"/>
      </rPr>
      <t>-</t>
    </r>
    <r>
      <rPr>
        <sz val="10"/>
        <color rgb="FF858583"/>
        <rFont val="Arial"/>
        <family val="2"/>
      </rPr>
      <t>1</t>
    </r>
    <r>
      <rPr>
        <sz val="10"/>
        <color rgb="FF3A383A"/>
        <rFont val="Arial"/>
        <family val="2"/>
      </rPr>
      <t>.</t>
    </r>
    <r>
      <rPr>
        <sz val="10"/>
        <color rgb="FF858583"/>
        <rFont val="Arial"/>
        <family val="2"/>
      </rPr>
      <t>3%</t>
    </r>
  </si>
  <si>
    <r>
      <rPr>
        <sz val="10"/>
        <color rgb="FF6B6B6D"/>
        <rFont val="Arial"/>
        <family val="2"/>
      </rPr>
      <t>28Janua</t>
    </r>
    <r>
      <rPr>
        <sz val="10"/>
        <color rgb="FF858583"/>
        <rFont val="Arial"/>
        <family val="2"/>
      </rPr>
      <t>ry</t>
    </r>
  </si>
  <si>
    <r>
      <rPr>
        <sz val="10"/>
        <color rgb="FF6B6B6D"/>
        <rFont val="Arial"/>
        <family val="2"/>
      </rPr>
      <t>Week</t>
    </r>
    <r>
      <rPr>
        <sz val="10"/>
        <color rgb="FF3A383A"/>
        <rFont val="Arial"/>
        <family val="2"/>
      </rPr>
      <t>l</t>
    </r>
    <r>
      <rPr>
        <sz val="10"/>
        <color rgb="FF858583"/>
        <rFont val="Arial"/>
        <family val="2"/>
      </rPr>
      <t>y</t>
    </r>
  </si>
  <si>
    <r>
      <rPr>
        <sz val="10"/>
        <color rgb="FF6B6B6D"/>
        <rFont val="Arial"/>
        <family val="2"/>
      </rPr>
      <t>0</t>
    </r>
    <r>
      <rPr>
        <sz val="10"/>
        <color rgb="FF3A383A"/>
        <rFont val="Arial"/>
        <family val="2"/>
      </rPr>
      <t>.</t>
    </r>
    <r>
      <rPr>
        <sz val="10"/>
        <color rgb="FF6B6B6D"/>
        <rFont val="Arial"/>
        <family val="2"/>
      </rPr>
      <t>9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</si>
  <si>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0</t>
    </r>
    <r>
      <rPr>
        <sz val="10"/>
        <color rgb="FF54484F"/>
        <rFont val="Arial"/>
        <family val="2"/>
      </rPr>
      <t>.</t>
    </r>
    <r>
      <rPr>
        <sz val="10"/>
        <color rgb="FF6B6B6D"/>
        <rFont val="Arial"/>
        <family val="2"/>
      </rPr>
      <t>9</t>
    </r>
    <r>
      <rPr>
        <sz val="10"/>
        <color rgb="FF858583"/>
        <rFont val="Arial"/>
        <family val="2"/>
      </rPr>
      <t>%</t>
    </r>
  </si>
  <si>
    <r>
      <rPr>
        <sz val="10"/>
        <color rgb="FF6B6B6D"/>
        <rFont val="Arial"/>
        <family val="2"/>
      </rPr>
      <t>21Ja</t>
    </r>
    <r>
      <rPr>
        <sz val="10"/>
        <color rgb="FF858583"/>
        <rFont val="Arial"/>
        <family val="2"/>
      </rPr>
      <t>nu</t>
    </r>
    <r>
      <rPr>
        <sz val="10"/>
        <color rgb="FF6B6B6D"/>
        <rFont val="Arial"/>
        <family val="2"/>
      </rPr>
      <t>a</t>
    </r>
    <r>
      <rPr>
        <sz val="10"/>
        <color rgb="FF858583"/>
        <rFont val="Arial"/>
        <family val="2"/>
      </rPr>
      <t>ry</t>
    </r>
  </si>
  <si>
    <r>
      <rPr>
        <sz val="10"/>
        <color rgb="FF6B6B6D"/>
        <rFont val="Arial"/>
        <family val="2"/>
      </rPr>
      <t>$2</t>
    </r>
    <r>
      <rPr>
        <sz val="10"/>
        <color rgb="FF858583"/>
        <rFont val="Arial"/>
        <family val="2"/>
      </rPr>
      <t>0</t>
    </r>
    <r>
      <rPr>
        <sz val="10"/>
        <color rgb="FF3A383A"/>
        <rFont val="Arial"/>
        <family val="2"/>
      </rPr>
      <t>.</t>
    </r>
    <r>
      <rPr>
        <sz val="10"/>
        <color rgb="FF858583"/>
        <rFont val="Arial"/>
        <family val="2"/>
      </rPr>
      <t xml:space="preserve">4 </t>
    </r>
    <r>
      <rPr>
        <sz val="10"/>
        <color rgb="FF6B6B6D"/>
        <rFont val="Arial"/>
        <family val="2"/>
      </rPr>
      <t>5</t>
    </r>
  </si>
  <si>
    <r>
      <rPr>
        <sz val="10"/>
        <color rgb="FF6B6B6D"/>
        <rFont val="Arial"/>
        <family val="2"/>
      </rPr>
      <t>2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2</t>
    </r>
    <r>
      <rPr>
        <sz val="10"/>
        <color rgb="FF858583"/>
        <rFont val="Arial"/>
        <family val="2"/>
      </rPr>
      <t>%</t>
    </r>
  </si>
  <si>
    <r>
      <rPr>
        <sz val="10"/>
        <color rgb="FF858583"/>
        <rFont val="Arial"/>
        <family val="2"/>
      </rPr>
      <t xml:space="preserve">14 </t>
    </r>
    <r>
      <rPr>
        <sz val="10"/>
        <color rgb="FF6B6B6D"/>
        <rFont val="Arial"/>
        <family val="2"/>
      </rPr>
      <t>Jan</t>
    </r>
    <r>
      <rPr>
        <sz val="10"/>
        <color rgb="FF858583"/>
        <rFont val="Arial"/>
        <family val="2"/>
      </rPr>
      <t>u</t>
    </r>
    <r>
      <rPr>
        <sz val="10"/>
        <color rgb="FF6B6B6D"/>
        <rFont val="Arial"/>
        <family val="2"/>
      </rPr>
      <t>ary</t>
    </r>
  </si>
  <si>
    <r>
      <rPr>
        <sz val="10"/>
        <color rgb="FF6B6B6D"/>
        <rFont val="Arial"/>
        <family val="2"/>
      </rPr>
      <t>0.6</t>
    </r>
    <r>
      <rPr>
        <sz val="10"/>
        <color rgb="FF858583"/>
        <rFont val="Arial"/>
        <family val="2"/>
      </rPr>
      <t>%</t>
    </r>
  </si>
  <si>
    <r>
      <rPr>
        <sz val="10"/>
        <color rgb="FF858583"/>
        <rFont val="Arial"/>
        <family val="2"/>
      </rPr>
      <t>7</t>
    </r>
    <r>
      <rPr>
        <sz val="10"/>
        <color rgb="FF6B6B6D"/>
        <rFont val="Arial"/>
        <family val="2"/>
      </rPr>
      <t>Janua</t>
    </r>
    <r>
      <rPr>
        <sz val="10"/>
        <color rgb="FF858583"/>
        <rFont val="Arial"/>
        <family val="2"/>
      </rPr>
      <t>ry</t>
    </r>
  </si>
  <si>
    <r>
      <rPr>
        <sz val="10"/>
        <color rgb="FF6B6B6D"/>
        <rFont val="Arial"/>
        <family val="2"/>
      </rPr>
      <t>0</t>
    </r>
    <r>
      <rPr>
        <sz val="10"/>
        <color rgb="FF858583"/>
        <rFont val="Arial"/>
        <family val="2"/>
      </rPr>
      <t>.</t>
    </r>
    <r>
      <rPr>
        <sz val="10"/>
        <color rgb="FF6B6B6D"/>
        <rFont val="Arial"/>
        <family val="2"/>
      </rPr>
      <t>5</t>
    </r>
    <r>
      <rPr>
        <sz val="10"/>
        <color rgb="FF858583"/>
        <rFont val="Arial"/>
        <family val="2"/>
      </rPr>
      <t>%</t>
    </r>
  </si>
  <si>
    <t>Ackman</t>
  </si>
  <si>
    <t>S&amp;P 500</t>
  </si>
  <si>
    <t>Scion Capital returns</t>
  </si>
  <si>
    <t>Year</t>
  </si>
  <si>
    <t>Gross Return</t>
  </si>
  <si>
    <t>Net Return</t>
  </si>
  <si>
    <t>2008 Q1</t>
  </si>
  <si>
    <t>Since inception</t>
  </si>
  <si>
    <t>https://www.valuewalk.com/michael-burry-bio/</t>
  </si>
  <si>
    <t>His speculations were right. Not only did he make a big profit privately (as much as $100 million), but also earned his investors $700 million.  </t>
  </si>
  <si>
    <t>Notional (This is the value of the bond)</t>
  </si>
  <si>
    <t>Risk Free Rate (U.S. Treasury typically 5 year):</t>
  </si>
  <si>
    <t>Probability the bond will default</t>
  </si>
  <si>
    <t>Recovery Rate (What recovery you will get on the defaulted bond)</t>
  </si>
  <si>
    <t>=</t>
  </si>
  <si>
    <t>Payments by the CDS buyer (buyer of protection). This is what the buyer has to pay each year (in this example, but payments are typically quarterly. Ackman's contract was a monthly one</t>
  </si>
  <si>
    <t>Probability adjusted PV of Payoff made by the CDS Seller</t>
  </si>
  <si>
    <t>Probability Adjusted Present Value (PV) Payments of buyer such as Ackman</t>
  </si>
  <si>
    <t>Credit Default Swap Price</t>
  </si>
  <si>
    <t>Payment Expected Accrual (If there is a default). This is essentially the value to the buyer if his company defaults</t>
  </si>
  <si>
    <t>Pave of Exp Accrual</t>
  </si>
  <si>
    <t>(Ackman did closer to $64.7 B)</t>
  </si>
  <si>
    <t>Time in years</t>
  </si>
  <si>
    <t>Payment date</t>
  </si>
  <si>
    <t>Notional value (max payoff)</t>
  </si>
  <si>
    <t>Present value Factor (What the payment is worth in today's dollars)</t>
  </si>
  <si>
    <t>Initial CDS Rate</t>
  </si>
  <si>
    <t>Increased CDS rate</t>
  </si>
  <si>
    <t>Payment amount (spike in CDS)</t>
  </si>
  <si>
    <t>Notes</t>
  </si>
  <si>
    <t>this is the value the insurer would expect to receive from all CDS insurance payments</t>
  </si>
  <si>
    <t>Value</t>
  </si>
  <si>
    <t>Present value spike in CDS</t>
  </si>
  <si>
    <t>Ackman's profit</t>
  </si>
  <si>
    <t>this is the value the insurer would expect to receive from all CDS insurance payments after the CDS rate has spiked</t>
  </si>
  <si>
    <t>the difference is Ackman's profit. He can then sell this contract to another investor. Think about it like this if you own a bond and the interest rate goes down then your bond is more valuable hence another investor would be willing to pay a higher price to have access to your coupons. Said another way, if you are being paid 3% interest payments and interest rates drop then 3% is better than alternatives so if you sold the bond at the initial price then new investors would be getting a great deal hence prices rise</t>
  </si>
  <si>
    <t>Model Assumptions</t>
  </si>
  <si>
    <t>Model calculations</t>
  </si>
  <si>
    <t>Risk free rate</t>
  </si>
  <si>
    <t>Payment amount (low CDs)</t>
  </si>
  <si>
    <t>Discounted Payment (initial CDs value)</t>
  </si>
  <si>
    <t>Discounted Payment (high CDs value)</t>
  </si>
  <si>
    <t>Present value (low CDS)</t>
  </si>
  <si>
    <t>The Greatest Trade of All-Time (Note CDS Contracts are typically for 5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</si>
</sst>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0.0000"/>
    <numFmt numFmtId="165" formatCode="0.000"/>
    <numFmt numFmtId="166" formatCode="0.0%"/>
    <numFmt numFmtId="167" formatCode="0.0"/>
    <numFmt numFmtId="168" formatCode="&quot;$&quot;#,##0.000;[Red]\-&quot;$&quot;#,##0.000"/>
    <numFmt numFmtId="169" formatCode="_-* #,##0.000_-;\-* #,##0.000_-;_-* &quot;-&quot;??_-;_-@_-"/>
    <numFmt numFmtId="170" formatCode="mmm\,\ yyyy"/>
    <numFmt numFmtId="171" formatCode="\$###0.00;\$###0.00"/>
    <numFmt numFmtId="172" formatCode="\£###0.00;\£###0.00"/>
    <numFmt numFmtId="173" formatCode="[$-1009]mmm\,\ d;@"/>
    <numFmt numFmtId="174" formatCode="_-* #,##0_-;\-* #,##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16"/>
      <color rgb="FF3A383A"/>
      <name val="Arial"/>
      <family val="2"/>
    </font>
    <font>
      <b/>
      <sz val="16"/>
      <color rgb="FF2A2A2A"/>
      <name val="Arial"/>
      <family val="2"/>
    </font>
    <font>
      <sz val="10"/>
      <name val="Arial"/>
      <family val="2"/>
    </font>
    <font>
      <sz val="10"/>
      <color rgb="FF858583"/>
      <name val="Arial"/>
      <family val="2"/>
    </font>
    <font>
      <sz val="10"/>
      <color rgb="FF6B6B6D"/>
      <name val="Arial"/>
      <family val="2"/>
    </font>
    <font>
      <b/>
      <sz val="10"/>
      <name val="Times New Roman"/>
      <family val="1"/>
    </font>
    <font>
      <b/>
      <sz val="10"/>
      <color rgb="FF858583"/>
      <name val="Times New Roman"/>
      <family val="1"/>
    </font>
    <font>
      <b/>
      <sz val="10"/>
      <color rgb="FF6B6B6D"/>
      <name val="Times New Roman"/>
      <family val="1"/>
    </font>
    <font>
      <b/>
      <sz val="8"/>
      <color rgb="FF6B6B6D"/>
      <name val="Arial"/>
      <family val="2"/>
    </font>
    <font>
      <b/>
      <sz val="8"/>
      <color rgb="FF858583"/>
      <name val="Arial"/>
      <family val="2"/>
    </font>
    <font>
      <sz val="10"/>
      <color rgb="FF9AA3A5"/>
      <name val="Arial"/>
      <family val="2"/>
    </font>
    <font>
      <b/>
      <sz val="9"/>
      <color rgb="FF858583"/>
      <name val="Arial"/>
      <family val="2"/>
    </font>
    <font>
      <b/>
      <sz val="9"/>
      <color rgb="FF6B6B6D"/>
      <name val="Arial"/>
      <family val="2"/>
    </font>
    <font>
      <sz val="10"/>
      <color rgb="FF3A383A"/>
      <name val="Arial"/>
      <family val="2"/>
    </font>
    <font>
      <sz val="10"/>
      <color rgb="FF54484F"/>
      <name val="Arial"/>
      <family val="2"/>
    </font>
    <font>
      <sz val="10"/>
      <color rgb="FF2A2A2A"/>
      <name val="Arial"/>
      <family val="2"/>
    </font>
    <font>
      <sz val="11"/>
      <name val="Arial"/>
      <family val="2"/>
    </font>
    <font>
      <sz val="11"/>
      <color rgb="FF858583"/>
      <name val="Arial"/>
      <family val="2"/>
    </font>
    <font>
      <sz val="11"/>
      <color rgb="FF6B6B6D"/>
      <name val="Arial"/>
      <family val="2"/>
    </font>
    <font>
      <sz val="13.5"/>
      <color rgb="FF1F1E1E"/>
      <name val="Arial"/>
      <family val="2"/>
    </font>
    <font>
      <b/>
      <sz val="13"/>
      <color rgb="FFFFFFFF"/>
      <name val="Georgia"/>
      <family val="1"/>
    </font>
    <font>
      <sz val="13"/>
      <color rgb="FF000000"/>
      <name val="Inherit"/>
    </font>
    <font>
      <sz val="13"/>
      <color rgb="FF000000"/>
      <name val="Georgia"/>
      <family val="1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24"/>
      <color theme="1"/>
      <name val="Calibri Light"/>
      <family val="2"/>
    </font>
    <font>
      <sz val="16"/>
      <color theme="1"/>
      <name val="Calibri Light"/>
      <family val="2"/>
    </font>
    <font>
      <b/>
      <sz val="16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5A8C"/>
        <bgColor indexed="64"/>
      </patternFill>
    </fill>
    <fill>
      <patternFill patternType="solid">
        <fgColor rgb="FFEAE9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282828"/>
      </bottom>
      <diagonal/>
    </border>
    <border>
      <left/>
      <right/>
      <top style="thin">
        <color rgb="FF282828"/>
      </top>
      <bottom/>
      <diagonal/>
    </border>
    <border>
      <left/>
      <right/>
      <top style="medium">
        <color rgb="FFE0E4E9"/>
      </top>
      <bottom/>
      <diagonal/>
    </border>
    <border>
      <left style="medium">
        <color rgb="FFEBEBEB"/>
      </left>
      <right style="medium">
        <color rgb="FFEBEBEB"/>
      </right>
      <top/>
      <bottom style="medium">
        <color rgb="FFEBEBEB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6" fontId="0" fillId="0" borderId="2" xfId="0" applyNumberFormat="1" applyBorder="1"/>
    <xf numFmtId="9" fontId="0" fillId="0" borderId="2" xfId="0" applyNumberFormat="1" applyBorder="1"/>
    <xf numFmtId="0" fontId="0" fillId="0" borderId="4" xfId="0" applyBorder="1"/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7" fontId="0" fillId="0" borderId="5" xfId="0" applyNumberFormat="1" applyBorder="1"/>
    <xf numFmtId="165" fontId="0" fillId="0" borderId="4" xfId="0" applyNumberFormat="1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8" xfId="0" applyBorder="1"/>
    <xf numFmtId="166" fontId="0" fillId="2" borderId="4" xfId="0" applyNumberFormat="1" applyFill="1" applyBorder="1"/>
    <xf numFmtId="166" fontId="0" fillId="2" borderId="4" xfId="1" applyNumberFormat="1" applyFont="1" applyFill="1" applyBorder="1"/>
    <xf numFmtId="165" fontId="0" fillId="2" borderId="0" xfId="0" applyNumberFormat="1" applyFill="1"/>
    <xf numFmtId="10" fontId="0" fillId="0" borderId="4" xfId="0" applyNumberFormat="1" applyBorder="1" applyAlignment="1"/>
    <xf numFmtId="10" fontId="0" fillId="0" borderId="0" xfId="1" applyNumberFormat="1" applyFont="1"/>
    <xf numFmtId="165" fontId="0" fillId="0" borderId="0" xfId="0" applyNumberFormat="1" applyBorder="1"/>
    <xf numFmtId="165" fontId="0" fillId="0" borderId="8" xfId="0" applyNumberFormat="1" applyBorder="1"/>
    <xf numFmtId="0" fontId="0" fillId="0" borderId="8" xfId="0" applyFont="1" applyBorder="1"/>
    <xf numFmtId="165" fontId="0" fillId="0" borderId="8" xfId="0" applyNumberFormat="1" applyFont="1" applyBorder="1"/>
    <xf numFmtId="165" fontId="0" fillId="2" borderId="8" xfId="0" applyNumberFormat="1" applyFill="1" applyBorder="1"/>
    <xf numFmtId="10" fontId="0" fillId="2" borderId="0" xfId="1" applyNumberFormat="1" applyFont="1" applyFill="1" applyBorder="1"/>
    <xf numFmtId="10" fontId="0" fillId="2" borderId="8" xfId="1" applyNumberFormat="1" applyFont="1" applyFill="1" applyBorder="1"/>
    <xf numFmtId="10" fontId="1" fillId="2" borderId="8" xfId="1" applyNumberFormat="1" applyFont="1" applyFill="1" applyBorder="1"/>
    <xf numFmtId="10" fontId="0" fillId="3" borderId="0" xfId="0" applyNumberFormat="1" applyFill="1" applyBorder="1"/>
    <xf numFmtId="10" fontId="0" fillId="3" borderId="0" xfId="0" applyNumberFormat="1" applyFill="1" applyAlignment="1"/>
    <xf numFmtId="10" fontId="0" fillId="3" borderId="0" xfId="0" applyNumberFormat="1" applyFill="1"/>
    <xf numFmtId="10" fontId="0" fillId="0" borderId="4" xfId="1" applyNumberFormat="1" applyFont="1" applyBorder="1"/>
    <xf numFmtId="0" fontId="2" fillId="0" borderId="4" xfId="0" applyFont="1" applyFill="1" applyBorder="1" applyAlignment="1"/>
    <xf numFmtId="8" fontId="0" fillId="0" borderId="0" xfId="0" applyNumberFormat="1"/>
    <xf numFmtId="43" fontId="0" fillId="0" borderId="0" xfId="2" applyFont="1"/>
    <xf numFmtId="0" fontId="3" fillId="0" borderId="0" xfId="3"/>
    <xf numFmtId="166" fontId="0" fillId="0" borderId="0" xfId="1" applyNumberFormat="1" applyFont="1"/>
    <xf numFmtId="168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171" fontId="10" fillId="0" borderId="10" xfId="0" applyNumberFormat="1" applyFont="1" applyBorder="1" applyAlignment="1">
      <alignment horizontal="left" vertical="top" wrapText="1"/>
    </xf>
    <xf numFmtId="172" fontId="10" fillId="0" borderId="10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71" fontId="10" fillId="0" borderId="0" xfId="0" applyNumberFormat="1" applyFont="1" applyAlignment="1">
      <alignment horizontal="left" vertical="top" wrapText="1"/>
    </xf>
    <xf numFmtId="172" fontId="10" fillId="0" borderId="0" xfId="0" applyNumberFormat="1" applyFont="1" applyAlignment="1">
      <alignment horizontal="left" vertical="top" wrapText="1"/>
    </xf>
    <xf numFmtId="171" fontId="9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172" fontId="9" fillId="0" borderId="0" xfId="0" applyNumberFormat="1" applyFont="1" applyAlignment="1">
      <alignment horizontal="left" vertical="top" wrapText="1"/>
    </xf>
    <xf numFmtId="4" fontId="4" fillId="4" borderId="11" xfId="0" applyNumberFormat="1" applyFont="1" applyFill="1" applyBorder="1" applyAlignment="1">
      <alignment horizontal="right" vertical="center" indent="1"/>
    </xf>
    <xf numFmtId="4" fontId="4" fillId="0" borderId="0" xfId="0" applyNumberFormat="1" applyFont="1"/>
    <xf numFmtId="0" fontId="0" fillId="0" borderId="0" xfId="0" applyFill="1" applyBorder="1" applyAlignment="1">
      <alignment horizontal="center" vertical="top" wrapText="1"/>
    </xf>
    <xf numFmtId="4" fontId="4" fillId="4" borderId="0" xfId="0" applyNumberFormat="1" applyFont="1" applyFill="1" applyBorder="1" applyAlignment="1">
      <alignment horizontal="right" vertical="center" indent="1"/>
    </xf>
    <xf numFmtId="173" fontId="0" fillId="0" borderId="0" xfId="0" applyNumberFormat="1"/>
    <xf numFmtId="173" fontId="4" fillId="4" borderId="0" xfId="0" applyNumberFormat="1" applyFont="1" applyFill="1" applyBorder="1" applyAlignment="1">
      <alignment horizontal="right" vertical="center" indent="1"/>
    </xf>
    <xf numFmtId="0" fontId="25" fillId="0" borderId="0" xfId="0" applyFont="1" applyAlignment="1">
      <alignment horizontal="left" vertical="center"/>
    </xf>
    <xf numFmtId="0" fontId="0" fillId="0" borderId="0" xfId="0" applyAlignment="1"/>
    <xf numFmtId="0" fontId="26" fillId="5" borderId="0" xfId="0" applyFont="1" applyFill="1" applyAlignment="1">
      <alignment horizontal="left" vertical="center"/>
    </xf>
    <xf numFmtId="0" fontId="27" fillId="4" borderId="12" xfId="0" applyFont="1" applyFill="1" applyBorder="1" applyAlignment="1">
      <alignment horizontal="center" vertical="center"/>
    </xf>
    <xf numFmtId="10" fontId="27" fillId="4" borderId="12" xfId="0" applyNumberFormat="1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10" fontId="27" fillId="6" borderId="12" xfId="0" applyNumberFormat="1" applyFont="1" applyFill="1" applyBorder="1" applyAlignment="1">
      <alignment horizontal="center" vertical="center"/>
    </xf>
    <xf numFmtId="0" fontId="28" fillId="0" borderId="0" xfId="0" applyFont="1"/>
    <xf numFmtId="166" fontId="0" fillId="0" borderId="2" xfId="0" applyNumberFormat="1" applyBorder="1"/>
    <xf numFmtId="9" fontId="27" fillId="4" borderId="12" xfId="1" applyFont="1" applyFill="1" applyBorder="1" applyAlignment="1">
      <alignment horizontal="center" vertical="center"/>
    </xf>
    <xf numFmtId="9" fontId="27" fillId="6" borderId="1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2" borderId="0" xfId="2" applyNumberFormat="1" applyFont="1" applyFill="1"/>
    <xf numFmtId="0" fontId="0" fillId="0" borderId="0" xfId="0" applyAlignment="1">
      <alignment horizontal="right"/>
    </xf>
    <xf numFmtId="10" fontId="0" fillId="7" borderId="14" xfId="1" applyNumberFormat="1" applyFont="1" applyFill="1" applyBorder="1"/>
    <xf numFmtId="0" fontId="30" fillId="0" borderId="0" xfId="0" applyFont="1"/>
    <xf numFmtId="170" fontId="30" fillId="0" borderId="0" xfId="0" applyNumberFormat="1" applyFont="1"/>
    <xf numFmtId="169" fontId="30" fillId="0" borderId="0" xfId="2" applyNumberFormat="1" applyFont="1"/>
    <xf numFmtId="2" fontId="30" fillId="0" borderId="0" xfId="1" applyNumberFormat="1" applyFont="1"/>
    <xf numFmtId="0" fontId="30" fillId="0" borderId="14" xfId="0" applyFont="1" applyBorder="1" applyAlignment="1">
      <alignment horizontal="center" vertical="center" wrapText="1"/>
    </xf>
    <xf numFmtId="170" fontId="30" fillId="0" borderId="14" xfId="0" applyNumberFormat="1" applyFont="1" applyBorder="1" applyAlignment="1">
      <alignment horizontal="center" vertical="center" wrapText="1"/>
    </xf>
    <xf numFmtId="169" fontId="30" fillId="0" borderId="14" xfId="2" applyNumberFormat="1" applyFont="1" applyBorder="1" applyAlignment="1">
      <alignment horizontal="center" vertical="center" wrapText="1"/>
    </xf>
    <xf numFmtId="2" fontId="30" fillId="0" borderId="14" xfId="1" applyNumberFormat="1" applyFont="1" applyBorder="1" applyAlignment="1">
      <alignment horizontal="center" vertical="center" wrapText="1"/>
    </xf>
    <xf numFmtId="169" fontId="30" fillId="0" borderId="18" xfId="2" applyNumberFormat="1" applyFont="1" applyBorder="1"/>
    <xf numFmtId="0" fontId="30" fillId="0" borderId="18" xfId="0" applyFont="1" applyBorder="1"/>
    <xf numFmtId="170" fontId="30" fillId="0" borderId="18" xfId="0" applyNumberFormat="1" applyFont="1" applyBorder="1"/>
    <xf numFmtId="174" fontId="30" fillId="8" borderId="18" xfId="2" applyNumberFormat="1" applyFont="1" applyFill="1" applyBorder="1"/>
    <xf numFmtId="174" fontId="30" fillId="9" borderId="18" xfId="2" applyNumberFormat="1" applyFont="1" applyFill="1" applyBorder="1"/>
    <xf numFmtId="174" fontId="30" fillId="0" borderId="18" xfId="2" applyNumberFormat="1" applyFont="1" applyBorder="1"/>
    <xf numFmtId="43" fontId="30" fillId="0" borderId="0" xfId="0" applyNumberFormat="1" applyFont="1"/>
    <xf numFmtId="169" fontId="30" fillId="0" borderId="17" xfId="2" applyNumberFormat="1" applyFont="1" applyBorder="1"/>
    <xf numFmtId="0" fontId="30" fillId="0" borderId="17" xfId="0" applyFont="1" applyBorder="1"/>
    <xf numFmtId="170" fontId="30" fillId="0" borderId="17" xfId="0" applyNumberFormat="1" applyFont="1" applyBorder="1"/>
    <xf numFmtId="174" fontId="30" fillId="8" borderId="17" xfId="2" applyNumberFormat="1" applyFont="1" applyFill="1" applyBorder="1"/>
    <xf numFmtId="174" fontId="30" fillId="9" borderId="17" xfId="2" applyNumberFormat="1" applyFont="1" applyFill="1" applyBorder="1"/>
    <xf numFmtId="174" fontId="30" fillId="0" borderId="17" xfId="2" applyNumberFormat="1" applyFont="1" applyBorder="1"/>
    <xf numFmtId="170" fontId="31" fillId="0" borderId="0" xfId="0" applyNumberFormat="1" applyFont="1" applyAlignment="1"/>
    <xf numFmtId="0" fontId="32" fillId="0" borderId="0" xfId="0" applyFont="1"/>
    <xf numFmtId="170" fontId="32" fillId="0" borderId="14" xfId="0" applyNumberFormat="1" applyFont="1" applyBorder="1"/>
    <xf numFmtId="0" fontId="33" fillId="0" borderId="14" xfId="0" applyFont="1" applyBorder="1" applyAlignment="1">
      <alignment horizontal="center"/>
    </xf>
    <xf numFmtId="170" fontId="32" fillId="0" borderId="0" xfId="0" applyNumberFormat="1" applyFont="1"/>
    <xf numFmtId="0" fontId="32" fillId="0" borderId="14" xfId="0" applyFont="1" applyBorder="1"/>
    <xf numFmtId="10" fontId="32" fillId="0" borderId="14" xfId="0" applyNumberFormat="1" applyFont="1" applyBorder="1"/>
    <xf numFmtId="174" fontId="32" fillId="8" borderId="14" xfId="2" applyNumberFormat="1" applyFont="1" applyFill="1" applyBorder="1"/>
    <xf numFmtId="174" fontId="32" fillId="9" borderId="14" xfId="2" applyNumberFormat="1" applyFont="1" applyFill="1" applyBorder="1"/>
    <xf numFmtId="169" fontId="32" fillId="0" borderId="0" xfId="2" applyNumberFormat="1" applyFont="1"/>
    <xf numFmtId="174" fontId="32" fillId="10" borderId="14" xfId="2" applyNumberFormat="1" applyFont="1" applyFill="1" applyBorder="1"/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3" fillId="0" borderId="14" xfId="0" applyFont="1" applyBorder="1" applyAlignment="1">
      <alignment horizontal="center"/>
    </xf>
    <xf numFmtId="170" fontId="30" fillId="0" borderId="14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S&amp;P 500 (Return)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801346801346802"/>
                  <c:y val="7.02524617172485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At the time of</a:t>
                    </a:r>
                    <a:r>
                      <a:rPr lang="en-US" baseline="0"/>
                      <a:t> the big short the S&amp;P 500 is down 8.5%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17-44CC-B063-B6C7CD68B40E}"/>
                </c:ext>
              </c:extLst>
            </c:dLbl>
            <c:dLbl>
              <c:idx val="12"/>
              <c:layout>
                <c:manualLayout>
                  <c:x val="3.3670033670033669E-3"/>
                  <c:y val="5.2689346287936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S&amp;P 500 hits a low for</a:t>
                    </a:r>
                    <a:r>
                      <a:rPr lang="en-US" baseline="0"/>
                      <a:t> the week down, </a:t>
                    </a:r>
                    <a:r>
                      <a:rPr lang="en-US"/>
                      <a:t> </a:t>
                    </a:r>
                    <a:fld id="{028FE0D8-9489-48EC-8601-939E483AF2B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417-44CC-B063-B6C7CD68B40E}"/>
                </c:ext>
              </c:extLst>
            </c:dLbl>
            <c:dLbl>
              <c:idx val="19"/>
              <c:layout>
                <c:manualLayout>
                  <c:x val="-2.3569023569023444E-2"/>
                  <c:y val="-7.903401943190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17-44CC-B063-B6C7CD68B40E}"/>
                </c:ext>
              </c:extLst>
            </c:dLbl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 cap="flat" cmpd="sng" algn="ctr">
                      <a:solidFill>
                        <a:schemeClr val="tx1"/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'Ackman Performance'!$M$2:$M$21</c:f>
              <c:numCache>
                <c:formatCode>[$-1009]mmm\,\ d;@</c:formatCode>
                <c:ptCount val="20"/>
                <c:pt idx="0">
                  <c:v>43830</c:v>
                </c:pt>
                <c:pt idx="1">
                  <c:v>43837</c:v>
                </c:pt>
                <c:pt idx="2">
                  <c:v>43844</c:v>
                </c:pt>
                <c:pt idx="3">
                  <c:v>43851</c:v>
                </c:pt>
                <c:pt idx="4">
                  <c:v>43858</c:v>
                </c:pt>
                <c:pt idx="5">
                  <c:v>43865</c:v>
                </c:pt>
                <c:pt idx="6">
                  <c:v>43872</c:v>
                </c:pt>
                <c:pt idx="7">
                  <c:v>43879</c:v>
                </c:pt>
                <c:pt idx="8">
                  <c:v>43886</c:v>
                </c:pt>
                <c:pt idx="9">
                  <c:v>43890</c:v>
                </c:pt>
                <c:pt idx="10">
                  <c:v>43899</c:v>
                </c:pt>
                <c:pt idx="11">
                  <c:v>43907</c:v>
                </c:pt>
                <c:pt idx="12">
                  <c:v>43914</c:v>
                </c:pt>
                <c:pt idx="13">
                  <c:v>43921</c:v>
                </c:pt>
                <c:pt idx="14">
                  <c:v>43928</c:v>
                </c:pt>
                <c:pt idx="15">
                  <c:v>43935</c:v>
                </c:pt>
                <c:pt idx="16">
                  <c:v>43942</c:v>
                </c:pt>
                <c:pt idx="17">
                  <c:v>43949</c:v>
                </c:pt>
                <c:pt idx="18">
                  <c:v>43956</c:v>
                </c:pt>
                <c:pt idx="19">
                  <c:v>43963</c:v>
                </c:pt>
              </c:numCache>
            </c:numRef>
          </c:cat>
          <c:val>
            <c:numRef>
              <c:f>'Ackman Performance'!$N$2:$N$21</c:f>
              <c:numCache>
                <c:formatCode>0.0%</c:formatCode>
                <c:ptCount val="20"/>
                <c:pt idx="0">
                  <c:v>0</c:v>
                </c:pt>
                <c:pt idx="1">
                  <c:v>1.9809457777997252E-3</c:v>
                </c:pt>
                <c:pt idx="2">
                  <c:v>1.620970787240239E-2</c:v>
                </c:pt>
                <c:pt idx="3">
                  <c:v>2.786014522808733E-2</c:v>
                </c:pt>
                <c:pt idx="4">
                  <c:v>1.4070905477933993E-2</c:v>
                </c:pt>
                <c:pt idx="5">
                  <c:v>-1.6280898111292741E-3</c:v>
                </c:pt>
                <c:pt idx="6">
                  <c:v>3.9300107094881076E-2</c:v>
                </c:pt>
                <c:pt idx="7">
                  <c:v>4.3181522728257482E-2</c:v>
                </c:pt>
                <c:pt idx="8">
                  <c:v>-3.1747751317019457E-2</c:v>
                </c:pt>
                <c:pt idx="9">
                  <c:v>-8.5601619423173458E-2</c:v>
                </c:pt>
                <c:pt idx="10">
                  <c:v>-0.14987711945722093</c:v>
                </c:pt>
                <c:pt idx="11">
                  <c:v>-0.21715808566352401</c:v>
                </c:pt>
                <c:pt idx="12">
                  <c:v>-0.24249562025269444</c:v>
                </c:pt>
                <c:pt idx="13">
                  <c:v>-0.20001052377444462</c:v>
                </c:pt>
                <c:pt idx="14">
                  <c:v>-0.17685202954085399</c:v>
                </c:pt>
                <c:pt idx="15">
                  <c:v>-0.11907960306798981</c:v>
                </c:pt>
                <c:pt idx="16">
                  <c:v>-0.15297234723503306</c:v>
                </c:pt>
                <c:pt idx="17">
                  <c:v>-9.853657630665047E-2</c:v>
                </c:pt>
                <c:pt idx="18">
                  <c:v>-0.11215248330124616</c:v>
                </c:pt>
                <c:pt idx="19">
                  <c:v>-0.11163248503457379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17-44CC-B063-B6C7CD68B40E}"/>
            </c:ext>
          </c:extLst>
        </c:ser>
        <c:ser>
          <c:idx val="1"/>
          <c:order val="1"/>
          <c:tx>
            <c:v>Pershing Square (Return)</c:v>
          </c:tx>
          <c:spPr>
            <a:ln w="571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9326599326599388E-2"/>
                  <c:y val="-0.313208891822733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Activated Big Short on March 3, 2020, fund is down 7.1%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17-44CC-B063-B6C7CD68B40E}"/>
                </c:ext>
              </c:extLst>
            </c:dLbl>
            <c:dLbl>
              <c:idx val="12"/>
              <c:layout>
                <c:manualLayout>
                  <c:x val="-2.3837902264600714E-2"/>
                  <c:y val="6.49029910257893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March 24, Big Short closed,</a:t>
                    </a:r>
                    <a:r>
                      <a:rPr lang="en-US" baseline="0"/>
                      <a:t> fund is now up 0.2%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17-44CC-B063-B6C7CD68B40E}"/>
                </c:ext>
              </c:extLst>
            </c:dLbl>
            <c:dLbl>
              <c:idx val="19"/>
              <c:layout>
                <c:manualLayout>
                  <c:x val="-6.6353826983749477E-3"/>
                  <c:y val="0.128796295058495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Ackman</a:t>
                    </a:r>
                    <a:r>
                      <a:rPr lang="en-US" baseline="0"/>
                      <a:t> is up 16.5% as of May 12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83846337389644"/>
                      <c:h val="8.77717846015270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1417-44CC-B063-B6C7CD68B40E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 cap="flat" cmpd="sng" algn="ctr">
                      <a:solidFill>
                        <a:sysClr val="windowText" lastClr="000000"/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'Ackman Performance'!$M$2:$M$21</c:f>
              <c:numCache>
                <c:formatCode>[$-1009]mmm\,\ d;@</c:formatCode>
                <c:ptCount val="20"/>
                <c:pt idx="0">
                  <c:v>43830</c:v>
                </c:pt>
                <c:pt idx="1">
                  <c:v>43837</c:v>
                </c:pt>
                <c:pt idx="2">
                  <c:v>43844</c:v>
                </c:pt>
                <c:pt idx="3">
                  <c:v>43851</c:v>
                </c:pt>
                <c:pt idx="4">
                  <c:v>43858</c:v>
                </c:pt>
                <c:pt idx="5">
                  <c:v>43865</c:v>
                </c:pt>
                <c:pt idx="6">
                  <c:v>43872</c:v>
                </c:pt>
                <c:pt idx="7">
                  <c:v>43879</c:v>
                </c:pt>
                <c:pt idx="8">
                  <c:v>43886</c:v>
                </c:pt>
                <c:pt idx="9">
                  <c:v>43890</c:v>
                </c:pt>
                <c:pt idx="10">
                  <c:v>43899</c:v>
                </c:pt>
                <c:pt idx="11">
                  <c:v>43907</c:v>
                </c:pt>
                <c:pt idx="12">
                  <c:v>43914</c:v>
                </c:pt>
                <c:pt idx="13">
                  <c:v>43921</c:v>
                </c:pt>
                <c:pt idx="14">
                  <c:v>43928</c:v>
                </c:pt>
                <c:pt idx="15">
                  <c:v>43935</c:v>
                </c:pt>
                <c:pt idx="16">
                  <c:v>43942</c:v>
                </c:pt>
                <c:pt idx="17">
                  <c:v>43949</c:v>
                </c:pt>
                <c:pt idx="18">
                  <c:v>43956</c:v>
                </c:pt>
                <c:pt idx="19">
                  <c:v>43963</c:v>
                </c:pt>
              </c:numCache>
            </c:numRef>
          </c:cat>
          <c:val>
            <c:numRef>
              <c:f>'Ackman Performance'!$O$2:$O$21</c:f>
              <c:numCache>
                <c:formatCode>0.0%</c:formatCode>
                <c:ptCount val="20"/>
                <c:pt idx="0">
                  <c:v>0</c:v>
                </c:pt>
                <c:pt idx="1">
                  <c:v>5.0000000000000001E-3</c:v>
                </c:pt>
                <c:pt idx="2">
                  <c:v>6.0000000000000001E-3</c:v>
                </c:pt>
                <c:pt idx="3">
                  <c:v>2.1999999999999999E-2</c:v>
                </c:pt>
                <c:pt idx="4">
                  <c:v>8.9999999999999993E-3</c:v>
                </c:pt>
                <c:pt idx="5">
                  <c:v>-1.2999999999999999E-2</c:v>
                </c:pt>
                <c:pt idx="6">
                  <c:v>2.9000000000000001E-2</c:v>
                </c:pt>
                <c:pt idx="7">
                  <c:v>3.6999999999999998E-2</c:v>
                </c:pt>
                <c:pt idx="8">
                  <c:v>-3.5000000000000003E-2</c:v>
                </c:pt>
                <c:pt idx="9">
                  <c:v>-7.0999999999999994E-2</c:v>
                </c:pt>
                <c:pt idx="10">
                  <c:v>2.8000000000000001E-2</c:v>
                </c:pt>
                <c:pt idx="11">
                  <c:v>-6.5000000000000002E-2</c:v>
                </c:pt>
                <c:pt idx="12">
                  <c:v>2E-3</c:v>
                </c:pt>
                <c:pt idx="13">
                  <c:v>3.3000000000000002E-2</c:v>
                </c:pt>
                <c:pt idx="14">
                  <c:v>5.6000000000000001E-2</c:v>
                </c:pt>
                <c:pt idx="15">
                  <c:v>0.125</c:v>
                </c:pt>
                <c:pt idx="16">
                  <c:v>0.09</c:v>
                </c:pt>
                <c:pt idx="17">
                  <c:v>0.17299999999999999</c:v>
                </c:pt>
                <c:pt idx="18">
                  <c:v>0.155</c:v>
                </c:pt>
                <c:pt idx="19">
                  <c:v>0.16500000000000001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417-44CC-B063-B6C7CD68B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362128"/>
        <c:axId val="787362784"/>
      </c:lineChart>
      <c:dateAx>
        <c:axId val="787362128"/>
        <c:scaling>
          <c:orientation val="minMax"/>
        </c:scaling>
        <c:delete val="0"/>
        <c:axPos val="b"/>
        <c:numFmt formatCode="[$-1009]mmm\,\ d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362784"/>
        <c:crosses val="autoZero"/>
        <c:auto val="1"/>
        <c:lblOffset val="100"/>
        <c:baseTimeUnit val="days"/>
      </c:dateAx>
      <c:valAx>
        <c:axId val="787362784"/>
        <c:scaling>
          <c:orientation val="minMax"/>
          <c:max val="0.2"/>
          <c:min val="-0.30000000000000004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362128"/>
        <c:crosses val="autoZero"/>
        <c:crossBetween val="between"/>
      </c:valAx>
      <c:spPr>
        <a:noFill/>
        <a:ln cap="rnd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Scion Captial (Michael Burry) Yearly Return</c:v>
          </c:tx>
          <c:spPr>
            <a:noFill/>
            <a:ln w="250825"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'Bury Performance'!$A$4:$A$11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'Bury Performance'!$B$4:$B$11</c:f>
              <c:numCache>
                <c:formatCode>0%</c:formatCode>
                <c:ptCount val="8"/>
                <c:pt idx="0">
                  <c:v>8.2000000000000003E-2</c:v>
                </c:pt>
                <c:pt idx="1">
                  <c:v>0.5544</c:v>
                </c:pt>
                <c:pt idx="2">
                  <c:v>0.1608</c:v>
                </c:pt>
                <c:pt idx="3">
                  <c:v>0.5071</c:v>
                </c:pt>
                <c:pt idx="4">
                  <c:v>0.1077</c:v>
                </c:pt>
                <c:pt idx="5">
                  <c:v>7.8100000000000003E-2</c:v>
                </c:pt>
                <c:pt idx="6">
                  <c:v>-0.18160000000000001</c:v>
                </c:pt>
                <c:pt idx="7">
                  <c:v>1.6691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7-47B2-8DCB-BF7E35E1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684941248"/>
        <c:axId val="684939608"/>
      </c:barChart>
      <c:catAx>
        <c:axId val="6849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en-US"/>
          </a:p>
        </c:txPr>
        <c:crossAx val="684939608"/>
        <c:crosses val="autoZero"/>
        <c:auto val="1"/>
        <c:lblAlgn val="ctr"/>
        <c:lblOffset val="100"/>
        <c:noMultiLvlLbl val="0"/>
      </c:catAx>
      <c:valAx>
        <c:axId val="6849396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849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895351</xdr:colOff>
      <xdr:row>11</xdr:row>
      <xdr:rowOff>158210</xdr:rowOff>
    </xdr:from>
    <xdr:to>
      <xdr:col>5</xdr:col>
      <xdr:colOff>352425</xdr:colOff>
      <xdr:row>16</xdr:row>
      <xdr:rowOff>189500</xdr:rowOff>
    </xdr:to>
    <xdr:pic>
      <xdr:nvPicPr>
        <xdr:cNvPr id="4" name="Picture 3" descr="A person wearing a suit and tie&#10;&#10;Description automatically generated">
          <a:extLst>
            <a:ext uri="{FF2B5EF4-FFF2-40B4-BE49-F238E27FC236}">
              <a16:creationId xmlns:a16="http://schemas.microsoft.com/office/drawing/2014/main" id="{A9DF9B36-B989-4A44-8440-E7DBE0701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1" y="2301335"/>
          <a:ext cx="1762124" cy="1174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13</xdr:row>
      <xdr:rowOff>676275</xdr:rowOff>
    </xdr:from>
    <xdr:to>
      <xdr:col>18</xdr:col>
      <xdr:colOff>523874</xdr:colOff>
      <xdr:row>35</xdr:row>
      <xdr:rowOff>48692</xdr:rowOff>
    </xdr:to>
    <xdr:pic>
      <xdr:nvPicPr>
        <xdr:cNvPr id="2" name="Picture 1" descr="Cost of US corporate default protection soars | Financial Times">
          <a:extLst>
            <a:ext uri="{FF2B5EF4-FFF2-40B4-BE49-F238E27FC236}">
              <a16:creationId xmlns:a16="http://schemas.microsoft.com/office/drawing/2014/main" id="{A8F22CE2-27D2-40DE-98F8-8A3248AF9C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362325"/>
          <a:ext cx="5791200" cy="4134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314325</xdr:colOff>
      <xdr:row>8</xdr:row>
      <xdr:rowOff>6986</xdr:rowOff>
    </xdr:from>
    <xdr:to>
      <xdr:col>17</xdr:col>
      <xdr:colOff>323851</xdr:colOff>
      <xdr:row>13</xdr:row>
      <xdr:rowOff>685799</xdr:rowOff>
    </xdr:to>
    <xdr:pic>
      <xdr:nvPicPr>
        <xdr:cNvPr id="3" name="Picture 2" descr="A person wearing a suit and tie&#10;&#10;Description automatically generated">
          <a:extLst>
            <a:ext uri="{FF2B5EF4-FFF2-40B4-BE49-F238E27FC236}">
              <a16:creationId xmlns:a16="http://schemas.microsoft.com/office/drawing/2014/main" id="{B085BFD4-63BA-4AC3-B148-E816A1131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5" y="959486"/>
          <a:ext cx="2447926" cy="163131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18</xdr:col>
      <xdr:colOff>180975</xdr:colOff>
      <xdr:row>30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E79F1AB-8F89-40A6-85E1-25CD5DD157F1}"/>
            </a:ext>
          </a:extLst>
        </xdr:cNvPr>
        <xdr:cNvCxnSpPr/>
      </xdr:nvCxnSpPr>
      <xdr:spPr>
        <a:xfrm>
          <a:off x="3705225" y="762000"/>
          <a:ext cx="10553700" cy="5038725"/>
        </a:xfrm>
        <a:prstGeom prst="straightConnector1">
          <a:avLst/>
        </a:prstGeom>
        <a:ln w="38100">
          <a:solidFill>
            <a:schemeClr val="tx1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1190625</xdr:colOff>
      <xdr:row>7</xdr:row>
      <xdr:rowOff>171450</xdr:rowOff>
    </xdr:from>
    <xdr:to>
      <xdr:col>18</xdr:col>
      <xdr:colOff>238125</xdr:colOff>
      <xdr:row>25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67A8370-19B2-4637-A255-CF7F2C7990FD}"/>
            </a:ext>
          </a:extLst>
        </xdr:cNvPr>
        <xdr:cNvCxnSpPr/>
      </xdr:nvCxnSpPr>
      <xdr:spPr>
        <a:xfrm>
          <a:off x="3695700" y="933450"/>
          <a:ext cx="10620375" cy="3876675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22</xdr:row>
      <xdr:rowOff>71436</xdr:rowOff>
    </xdr:from>
    <xdr:to>
      <xdr:col>17</xdr:col>
      <xdr:colOff>438149</xdr:colOff>
      <xdr:row>45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B2ADBA-19F3-43F7-B729-CC28173F0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3</xdr:row>
      <xdr:rowOff>166687</xdr:rowOff>
    </xdr:from>
    <xdr:to>
      <xdr:col>21</xdr:col>
      <xdr:colOff>447675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51CF99-E3AF-444D-8373-0CEFCA82D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valuewalk.com/michael-burry-b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5"/>
  <sheetViews>
    <sheetView zoomScale="150" zoomScaleNormal="150" workbookViewId="0">
      <selection activeCell="B2" sqref="B2"/>
    </sheetView>
  </sheetViews>
  <sheetFormatPr defaultRowHeight="15"/>
  <cols>
    <col min="1" max="1" width="9.140625" style="1"/>
    <col min="4" max="4" width="18" bestFit="1" customWidth="1"/>
    <col min="5" max="5" width="16.5703125" customWidth="1"/>
    <col min="8" max="8" width="24" customWidth="1"/>
    <col min="9" max="9" width="15.28515625" bestFit="1" customWidth="1"/>
    <col min="11" max="11" width="14.28515625" bestFit="1" customWidth="1"/>
    <col min="17" max="17" width="16.85546875" bestFit="1" customWidth="1"/>
    <col min="19" max="19" width="14.28515625" bestFit="1" customWidth="1"/>
  </cols>
  <sheetData>
    <row r="2" spans="1:17">
      <c r="D2" s="39"/>
    </row>
    <row r="3" spans="1:17" ht="15.75" thickBot="1"/>
    <row r="4" spans="1:17" ht="15.75" customHeight="1" thickBot="1">
      <c r="B4" t="s">
        <v>112</v>
      </c>
      <c r="E4" s="2">
        <v>1000</v>
      </c>
      <c r="F4" t="s">
        <v>123</v>
      </c>
      <c r="G4" s="111" t="s">
        <v>119</v>
      </c>
      <c r="H4" s="112"/>
      <c r="I4" s="112"/>
      <c r="L4" s="114" t="s">
        <v>118</v>
      </c>
      <c r="M4" s="115"/>
      <c r="N4" s="115"/>
      <c r="O4" s="116"/>
    </row>
    <row r="5" spans="1:17" ht="15.75" thickBot="1">
      <c r="B5" t="s">
        <v>113</v>
      </c>
      <c r="E5" s="72">
        <v>1.4999999999999999E-2</v>
      </c>
      <c r="G5" s="111"/>
      <c r="H5" s="112"/>
      <c r="I5" s="112"/>
      <c r="J5" s="113" t="s">
        <v>116</v>
      </c>
      <c r="K5" s="113"/>
      <c r="L5" s="117"/>
      <c r="M5" s="118"/>
      <c r="N5" s="118"/>
      <c r="O5" s="119"/>
    </row>
    <row r="6" spans="1:17" ht="15.75" thickBot="1">
      <c r="B6" t="s">
        <v>114</v>
      </c>
      <c r="E6" s="72">
        <v>0.05</v>
      </c>
    </row>
    <row r="7" spans="1:17" ht="15.75" thickBot="1">
      <c r="B7" t="s">
        <v>115</v>
      </c>
      <c r="E7" s="3">
        <v>0.7</v>
      </c>
    </row>
    <row r="8" spans="1:17">
      <c r="B8" t="s">
        <v>0</v>
      </c>
    </row>
    <row r="10" spans="1:17">
      <c r="B10" s="131" t="s">
        <v>117</v>
      </c>
      <c r="C10" s="132"/>
      <c r="D10" s="132"/>
      <c r="E10" s="133"/>
      <c r="G10" s="131" t="s">
        <v>121</v>
      </c>
      <c r="H10" s="132"/>
      <c r="I10" s="133"/>
      <c r="K10" s="120" t="s">
        <v>9</v>
      </c>
      <c r="L10" s="121"/>
      <c r="M10" s="121"/>
      <c r="N10" s="121"/>
      <c r="O10" s="122"/>
    </row>
    <row r="11" spans="1:17">
      <c r="B11" s="111"/>
      <c r="C11" s="112"/>
      <c r="D11" s="112"/>
      <c r="E11" s="134"/>
      <c r="G11" s="111"/>
      <c r="H11" s="112"/>
      <c r="I11" s="134"/>
      <c r="K11" s="123"/>
      <c r="L11" s="124"/>
      <c r="M11" s="124"/>
      <c r="N11" s="124"/>
      <c r="O11" s="125"/>
    </row>
    <row r="12" spans="1:17">
      <c r="B12" s="135"/>
      <c r="C12" s="136"/>
      <c r="D12" s="136"/>
      <c r="E12" s="137"/>
      <c r="G12" s="135"/>
      <c r="H12" s="136"/>
      <c r="I12" s="137"/>
      <c r="K12" s="126"/>
      <c r="L12" s="127"/>
      <c r="M12" s="127"/>
      <c r="N12" s="127"/>
      <c r="O12" s="128"/>
    </row>
    <row r="14" spans="1:17">
      <c r="A14" s="75" t="s">
        <v>105</v>
      </c>
      <c r="B14" s="10"/>
      <c r="C14" s="11" t="s">
        <v>1</v>
      </c>
      <c r="D14" s="11"/>
      <c r="E14" s="9"/>
      <c r="G14" s="138" t="s">
        <v>5</v>
      </c>
      <c r="H14" s="138"/>
      <c r="I14" s="138"/>
    </row>
    <row r="15" spans="1:17" ht="30">
      <c r="B15" s="14" t="s">
        <v>2</v>
      </c>
      <c r="C15" s="15" t="s">
        <v>3</v>
      </c>
      <c r="D15" s="15" t="s">
        <v>4</v>
      </c>
      <c r="G15" s="16" t="s">
        <v>5</v>
      </c>
      <c r="H15" s="16" t="s">
        <v>122</v>
      </c>
      <c r="K15" s="17" t="s">
        <v>6</v>
      </c>
      <c r="L15" s="17" t="s">
        <v>2</v>
      </c>
      <c r="M15" s="17" t="s">
        <v>7</v>
      </c>
      <c r="N15" s="36" t="s">
        <v>8</v>
      </c>
    </row>
    <row r="16" spans="1:17">
      <c r="A16" s="1">
        <v>0.5</v>
      </c>
      <c r="B16" s="5"/>
      <c r="C16" s="5"/>
      <c r="D16" s="5"/>
      <c r="E16" s="5"/>
      <c r="F16" s="5"/>
      <c r="G16" s="29">
        <f>K16*A16</f>
        <v>2.5000000000000001E-2</v>
      </c>
      <c r="H16" s="24">
        <f>G16*L16</f>
        <v>2.4814583349273257E-2</v>
      </c>
      <c r="I16" s="5"/>
      <c r="J16" s="5"/>
      <c r="K16" s="32">
        <f>E6</f>
        <v>0.05</v>
      </c>
      <c r="L16" s="7">
        <f>1/(1+$E$5)^(A16)</f>
        <v>0.99258333397093024</v>
      </c>
      <c r="M16" s="23">
        <f>K16*(1-$E$7)</f>
        <v>1.5000000000000003E-2</v>
      </c>
      <c r="N16" s="7">
        <f>L16*M16</f>
        <v>1.4888750009563956E-2</v>
      </c>
      <c r="Q16" s="41"/>
    </row>
    <row r="17" spans="1:19">
      <c r="A17" s="12">
        <v>1</v>
      </c>
      <c r="B17" s="13">
        <f>1/(1+$E$5)^A17</f>
        <v>0.98522167487684742</v>
      </c>
      <c r="C17" s="19">
        <f>(1-E6)</f>
        <v>0.95</v>
      </c>
      <c r="D17" s="13">
        <f>B17*C17</f>
        <v>0.935960591133005</v>
      </c>
      <c r="E17" s="4"/>
      <c r="F17" s="5"/>
      <c r="G17" s="5"/>
      <c r="H17" s="24"/>
      <c r="I17" s="5"/>
      <c r="J17" s="4"/>
      <c r="K17" s="4"/>
      <c r="L17" s="4"/>
      <c r="M17" s="35"/>
      <c r="N17" s="13"/>
    </row>
    <row r="18" spans="1:19">
      <c r="A18" s="1">
        <v>1.5</v>
      </c>
      <c r="B18" s="7"/>
      <c r="D18" s="7"/>
      <c r="F18" s="18"/>
      <c r="G18" s="30">
        <f>K18*$A$16</f>
        <v>2.375E-2</v>
      </c>
      <c r="H18" s="25">
        <f t="shared" ref="H18:H24" si="0">G18*L18</f>
        <v>2.3225472100305022E-2</v>
      </c>
      <c r="I18" s="18"/>
      <c r="K18" s="33">
        <f>E6-(K16*E6)</f>
        <v>4.7500000000000001E-2</v>
      </c>
      <c r="L18" s="7">
        <f>1/(1+$E$5)^(A18)</f>
        <v>0.97791461474968511</v>
      </c>
      <c r="M18" s="23">
        <f>K18*(1-$E$7)</f>
        <v>1.4250000000000002E-2</v>
      </c>
      <c r="N18" s="7">
        <f t="shared" ref="N18:N24" si="1">L18*M18</f>
        <v>1.3935283260183015E-2</v>
      </c>
      <c r="Q18" s="38"/>
      <c r="S18" s="38"/>
    </row>
    <row r="19" spans="1:19">
      <c r="A19" s="12">
        <v>2</v>
      </c>
      <c r="B19" s="13">
        <f>1/(1+$E$5)^A19</f>
        <v>0.9706617486471405</v>
      </c>
      <c r="C19" s="19">
        <f>C17*C17</f>
        <v>0.90249999999999997</v>
      </c>
      <c r="D19" s="13">
        <f t="shared" ref="D19:D25" si="2">B19*C19</f>
        <v>0.87602222815404429</v>
      </c>
      <c r="E19" s="4"/>
      <c r="F19" s="5"/>
      <c r="G19" s="5"/>
      <c r="H19" s="24"/>
      <c r="I19" s="5"/>
      <c r="J19" s="4"/>
      <c r="K19" s="22"/>
      <c r="L19" s="4"/>
      <c r="M19" s="35"/>
      <c r="N19" s="13"/>
      <c r="Q19" s="42"/>
    </row>
    <row r="20" spans="1:19">
      <c r="A20" s="1">
        <v>2.5</v>
      </c>
      <c r="B20" s="7"/>
      <c r="C20" s="8"/>
      <c r="D20" s="7"/>
      <c r="F20" s="18"/>
      <c r="G20" s="30">
        <f>K20*$A$16</f>
        <v>2.2562499999999999E-2</v>
      </c>
      <c r="H20" s="25">
        <f t="shared" si="0"/>
        <v>2.1738126596344602E-2</v>
      </c>
      <c r="I20" s="18"/>
      <c r="K20" s="34">
        <f>K18-(K18*E6)</f>
        <v>4.5124999999999998E-2</v>
      </c>
      <c r="L20" s="7">
        <f>1/(1+$E$5)^(A20)</f>
        <v>0.96346267463023172</v>
      </c>
      <c r="M20" s="23">
        <f t="shared" ref="M20:M24" si="3">K20*(1-$E$7)</f>
        <v>1.3537500000000001E-2</v>
      </c>
      <c r="N20" s="7">
        <f t="shared" si="1"/>
        <v>1.3042875957806763E-2</v>
      </c>
      <c r="Q20" s="42"/>
    </row>
    <row r="21" spans="1:19">
      <c r="A21" s="12">
        <v>3</v>
      </c>
      <c r="B21" s="13">
        <f>1/(1+$E$5)^A21</f>
        <v>0.95631699374102519</v>
      </c>
      <c r="C21" s="19">
        <f>C19*C17</f>
        <v>0.85737499999999989</v>
      </c>
      <c r="D21" s="13">
        <f t="shared" si="2"/>
        <v>0.81992228250871135</v>
      </c>
      <c r="E21" s="4"/>
      <c r="F21" s="5"/>
      <c r="G21" s="23"/>
      <c r="H21" s="24"/>
      <c r="I21" s="4"/>
      <c r="J21" s="4"/>
      <c r="K21" s="4"/>
      <c r="L21" s="4"/>
      <c r="M21" s="35"/>
      <c r="N21" s="13"/>
      <c r="Q21" s="42"/>
    </row>
    <row r="22" spans="1:19">
      <c r="A22" s="1">
        <v>3.5</v>
      </c>
      <c r="B22" s="7"/>
      <c r="D22" s="7"/>
      <c r="E22" s="18"/>
      <c r="F22" s="26"/>
      <c r="G22" s="31">
        <f>K22*$A$16</f>
        <v>2.1434374999999999E-2</v>
      </c>
      <c r="H22" s="27">
        <f>G22*L22</f>
        <v>2.0346029819238793E-2</v>
      </c>
      <c r="K22" s="34">
        <f>K20-(K20*E6)</f>
        <v>4.2868749999999997E-2</v>
      </c>
      <c r="L22" s="7">
        <f>1/(1+$E$5)^(A22)</f>
        <v>0.94922430998052398</v>
      </c>
      <c r="M22" s="23">
        <f t="shared" si="3"/>
        <v>1.2860625000000001E-2</v>
      </c>
      <c r="N22" s="7">
        <f t="shared" si="1"/>
        <v>1.2207617891543277E-2</v>
      </c>
      <c r="Q22" s="42"/>
    </row>
    <row r="23" spans="1:19">
      <c r="A23" s="12">
        <v>4</v>
      </c>
      <c r="B23" s="13">
        <f>1/(1+$E$5)^A23</f>
        <v>0.94218423028672449</v>
      </c>
      <c r="C23" s="20">
        <f>C21*0.98</f>
        <v>0.84022749999999991</v>
      </c>
      <c r="D23" s="13">
        <f t="shared" si="2"/>
        <v>0.79164910035323877</v>
      </c>
      <c r="E23" s="4"/>
      <c r="F23" s="5"/>
      <c r="G23" s="23"/>
      <c r="H23" s="24"/>
      <c r="I23" s="5"/>
      <c r="J23" s="4"/>
      <c r="K23" s="4"/>
      <c r="L23" s="4"/>
      <c r="M23" s="35"/>
      <c r="N23" s="13"/>
      <c r="Q23" s="42"/>
    </row>
    <row r="24" spans="1:19">
      <c r="A24" s="1">
        <v>4.5</v>
      </c>
      <c r="B24" s="7"/>
      <c r="D24" s="7"/>
      <c r="F24" s="18"/>
      <c r="G24" s="30">
        <f>K24*$A$16</f>
        <v>2.036265625E-2</v>
      </c>
      <c r="H24" s="25">
        <f t="shared" si="0"/>
        <v>1.9043082096824492E-2</v>
      </c>
      <c r="I24" s="18"/>
      <c r="K24" s="34">
        <f>K22-(K22*E6)</f>
        <v>4.0725312499999999E-2</v>
      </c>
      <c r="L24" s="7">
        <f>1/(1+$E$5)^(A24)</f>
        <v>0.93519636451283172</v>
      </c>
      <c r="M24" s="23">
        <f t="shared" si="3"/>
        <v>1.2217593750000002E-2</v>
      </c>
      <c r="N24" s="7">
        <f t="shared" si="1"/>
        <v>1.1425849258094697E-2</v>
      </c>
    </row>
    <row r="25" spans="1:19">
      <c r="A25" s="12">
        <v>5</v>
      </c>
      <c r="B25" s="13">
        <f>1/(1+$E$5)^A25</f>
        <v>0.92826032540563996</v>
      </c>
      <c r="C25" s="20">
        <f>C23*0.98</f>
        <v>0.82342294999999988</v>
      </c>
      <c r="D25" s="13">
        <f t="shared" si="2"/>
        <v>0.76435085551347193</v>
      </c>
      <c r="E25" s="4"/>
      <c r="F25" s="5"/>
      <c r="G25" s="23"/>
      <c r="H25" s="24"/>
      <c r="I25" s="5"/>
      <c r="J25" s="4"/>
      <c r="K25" s="4"/>
      <c r="L25" s="4"/>
      <c r="M25" s="4"/>
      <c r="N25" s="4"/>
    </row>
    <row r="26" spans="1:19">
      <c r="D26" s="21">
        <f>SUM(D17:D25)</f>
        <v>4.187905057662471</v>
      </c>
      <c r="F26" s="18"/>
      <c r="G26" s="18"/>
      <c r="H26" s="28">
        <f>SUM(H16:H24)</f>
        <v>0.10916729396198616</v>
      </c>
      <c r="I26" s="18"/>
      <c r="N26" s="129">
        <f>SUM(N16:N24)</f>
        <v>6.5500376377191707E-2</v>
      </c>
    </row>
    <row r="27" spans="1:19">
      <c r="G27" t="s">
        <v>10</v>
      </c>
      <c r="H27" s="76">
        <f>D26+H26</f>
        <v>4.2970723516244576</v>
      </c>
      <c r="N27" s="130"/>
    </row>
    <row r="30" spans="1:19">
      <c r="D30" s="6"/>
      <c r="G30" s="7"/>
    </row>
    <row r="31" spans="1:19">
      <c r="C31" s="77" t="s">
        <v>120</v>
      </c>
      <c r="D31" s="78">
        <f>N26/H27</f>
        <v>1.5243023858425391E-2</v>
      </c>
    </row>
    <row r="34" spans="4:10">
      <c r="D34" s="37"/>
      <c r="I34" s="38"/>
      <c r="J34" s="7"/>
    </row>
    <row r="35" spans="4:10">
      <c r="D35" s="37"/>
      <c r="E35" s="37"/>
    </row>
  </sheetData>
  <mergeCells count="8">
    <mergeCell ref="B10:E12"/>
    <mergeCell ref="G14:I14"/>
    <mergeCell ref="G4:I5"/>
    <mergeCell ref="J5:K5"/>
    <mergeCell ref="L4:O5"/>
    <mergeCell ref="K10:O12"/>
    <mergeCell ref="N26:N27"/>
    <mergeCell ref="G10:I1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74"/>
  <sheetViews>
    <sheetView tabSelected="1" topLeftCell="B1" zoomScale="120" zoomScaleNormal="120" workbookViewId="0">
      <selection activeCell="E4" sqref="E4"/>
    </sheetView>
  </sheetViews>
  <sheetFormatPr defaultRowHeight="15"/>
  <cols>
    <col min="1" max="1" width="3.28515625" style="79" customWidth="1"/>
    <col min="2" max="2" width="7.7109375" style="79" bestFit="1" customWidth="1"/>
    <col min="3" max="3" width="7.85546875" style="79" bestFit="1" customWidth="1"/>
    <col min="4" max="4" width="19.140625" style="80" bestFit="1" customWidth="1"/>
    <col min="5" max="5" width="18" style="79" customWidth="1"/>
    <col min="6" max="6" width="12.7109375" style="79" bestFit="1" customWidth="1"/>
    <col min="7" max="7" width="19.140625" style="79" bestFit="1" customWidth="1"/>
    <col min="8" max="8" width="25.140625" style="81" bestFit="1" customWidth="1"/>
    <col min="9" max="10" width="12.7109375" style="82" bestFit="1" customWidth="1"/>
    <col min="11" max="11" width="19" style="79" bestFit="1" customWidth="1"/>
    <col min="12" max="16384" width="9.140625" style="79"/>
  </cols>
  <sheetData>
    <row r="2" spans="2:19" ht="31.5">
      <c r="D2" s="100" t="s">
        <v>145</v>
      </c>
      <c r="E2" s="100"/>
      <c r="F2" s="100"/>
      <c r="G2" s="100"/>
      <c r="H2" s="100"/>
      <c r="I2" s="100"/>
      <c r="J2" s="100"/>
    </row>
    <row r="4" spans="2:19" ht="21">
      <c r="D4" s="104"/>
      <c r="E4" s="101"/>
      <c r="F4" s="101"/>
      <c r="G4" s="101"/>
      <c r="H4" s="109"/>
    </row>
    <row r="5" spans="2:19" ht="21">
      <c r="D5" s="140" t="s">
        <v>138</v>
      </c>
      <c r="E5" s="140"/>
      <c r="F5" s="101"/>
      <c r="G5" s="102"/>
      <c r="H5" s="103" t="s">
        <v>133</v>
      </c>
      <c r="I5" s="142" t="s">
        <v>131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2:19" ht="21">
      <c r="C6" s="80"/>
      <c r="D6" s="105" t="s">
        <v>140</v>
      </c>
      <c r="E6" s="106">
        <f>'CDS valuation'!$E$5</f>
        <v>1.4999999999999999E-2</v>
      </c>
      <c r="F6" s="101"/>
      <c r="G6" s="105" t="s">
        <v>144</v>
      </c>
      <c r="H6" s="107">
        <f>SUM(I15:I74)</f>
        <v>1557395013.0648375</v>
      </c>
      <c r="I6" s="141" t="s">
        <v>132</v>
      </c>
      <c r="J6" s="141"/>
      <c r="K6" s="141"/>
      <c r="L6" s="141"/>
      <c r="M6" s="141"/>
      <c r="N6" s="141"/>
      <c r="O6" s="141"/>
      <c r="P6" s="141"/>
      <c r="Q6" s="141"/>
      <c r="R6" s="141"/>
      <c r="S6" s="141"/>
    </row>
    <row r="7" spans="2:19" ht="21">
      <c r="D7" s="105" t="s">
        <v>128</v>
      </c>
      <c r="E7" s="106">
        <v>5.0000000000000001E-3</v>
      </c>
      <c r="F7" s="101"/>
      <c r="G7" s="105" t="s">
        <v>134</v>
      </c>
      <c r="H7" s="108">
        <f>SUM(J15:J74)</f>
        <v>1557395013.0648375</v>
      </c>
      <c r="I7" s="141" t="s">
        <v>136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</row>
    <row r="8" spans="2:19" ht="21">
      <c r="D8" s="105" t="s">
        <v>129</v>
      </c>
      <c r="E8" s="106">
        <v>5.0000000000000001E-3</v>
      </c>
      <c r="F8" s="101"/>
      <c r="G8" s="102" t="s">
        <v>135</v>
      </c>
      <c r="H8" s="110">
        <f>H7-H6</f>
        <v>0</v>
      </c>
      <c r="I8" s="141" t="s">
        <v>137</v>
      </c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2:19">
      <c r="E9" s="80"/>
      <c r="F9" s="80"/>
      <c r="J9" s="79"/>
    </row>
    <row r="13" spans="2:19">
      <c r="B13" s="139" t="s">
        <v>139</v>
      </c>
      <c r="C13" s="139"/>
      <c r="D13" s="139"/>
      <c r="E13" s="139"/>
      <c r="F13" s="139"/>
      <c r="G13" s="139"/>
      <c r="H13" s="139"/>
      <c r="I13" s="139"/>
      <c r="J13" s="139"/>
    </row>
    <row r="14" spans="2:19" ht="60">
      <c r="B14" s="83" t="s">
        <v>124</v>
      </c>
      <c r="C14" s="83" t="s">
        <v>11</v>
      </c>
      <c r="D14" s="84" t="s">
        <v>125</v>
      </c>
      <c r="E14" s="83" t="s">
        <v>141</v>
      </c>
      <c r="F14" s="83" t="s">
        <v>130</v>
      </c>
      <c r="G14" s="83" t="s">
        <v>126</v>
      </c>
      <c r="H14" s="85" t="s">
        <v>127</v>
      </c>
      <c r="I14" s="86" t="s">
        <v>142</v>
      </c>
      <c r="J14" s="86" t="s">
        <v>143</v>
      </c>
    </row>
    <row r="15" spans="2:19">
      <c r="B15" s="87">
        <f>C15/12</f>
        <v>8.3333333333333329E-2</v>
      </c>
      <c r="C15" s="88">
        <v>1</v>
      </c>
      <c r="D15" s="89">
        <v>43862</v>
      </c>
      <c r="E15" s="90">
        <f>(G15*$E$7)/12</f>
        <v>26958333.333333332</v>
      </c>
      <c r="F15" s="91">
        <f t="shared" ref="F15:F46" si="0">(G15*$E$8)/12</f>
        <v>26958333.333333332</v>
      </c>
      <c r="G15" s="92">
        <f>100000000000*0.647</f>
        <v>64700000000</v>
      </c>
      <c r="H15" s="87">
        <f>(('CDS valuation'!$E$5/12)+1)^C15</f>
        <v>1.00125</v>
      </c>
      <c r="I15" s="90">
        <f>E15/H15</f>
        <v>26924677.48647524</v>
      </c>
      <c r="J15" s="91">
        <f>F15/H15</f>
        <v>26924677.48647524</v>
      </c>
      <c r="K15" s="93"/>
    </row>
    <row r="16" spans="2:19">
      <c r="B16" s="94">
        <f t="shared" ref="B16:B74" si="1">C16/12</f>
        <v>0.16666666666666666</v>
      </c>
      <c r="C16" s="95">
        <v>2</v>
      </c>
      <c r="D16" s="96">
        <f t="shared" ref="D16:D74" si="2">EDATE(D15,1)</f>
        <v>43891</v>
      </c>
      <c r="E16" s="97">
        <f>E15</f>
        <v>26958333.333333332</v>
      </c>
      <c r="F16" s="98">
        <f t="shared" si="0"/>
        <v>26958333.333333332</v>
      </c>
      <c r="G16" s="99">
        <f>G15</f>
        <v>64700000000</v>
      </c>
      <c r="H16" s="94">
        <f>(('CDS valuation'!$E$5/12)+1)^C16</f>
        <v>1.0025015625</v>
      </c>
      <c r="I16" s="97">
        <f t="shared" ref="I16:I74" si="3">E16/H16</f>
        <v>26891063.656904109</v>
      </c>
      <c r="J16" s="98">
        <f t="shared" ref="J16:J74" si="4">F16/H16</f>
        <v>26891063.656904109</v>
      </c>
      <c r="K16" s="93"/>
    </row>
    <row r="17" spans="2:11">
      <c r="B17" s="94">
        <f t="shared" si="1"/>
        <v>0.25</v>
      </c>
      <c r="C17" s="95">
        <v>3</v>
      </c>
      <c r="D17" s="96">
        <f t="shared" si="2"/>
        <v>43922</v>
      </c>
      <c r="E17" s="97">
        <f t="shared" ref="E17:E74" si="5">E16</f>
        <v>26958333.333333332</v>
      </c>
      <c r="F17" s="98">
        <f t="shared" si="0"/>
        <v>26958333.333333332</v>
      </c>
      <c r="G17" s="99">
        <f t="shared" ref="G17:G74" si="6">G16</f>
        <v>64700000000</v>
      </c>
      <c r="H17" s="94">
        <f>(('CDS valuation'!$E$5/12)+1)^C17</f>
        <v>1.0037546894531251</v>
      </c>
      <c r="I17" s="97">
        <f t="shared" si="3"/>
        <v>26857491.792163901</v>
      </c>
      <c r="J17" s="98">
        <f t="shared" si="4"/>
        <v>26857491.792163901</v>
      </c>
      <c r="K17" s="93"/>
    </row>
    <row r="18" spans="2:11">
      <c r="B18" s="94">
        <f t="shared" si="1"/>
        <v>0.33333333333333331</v>
      </c>
      <c r="C18" s="95">
        <v>4</v>
      </c>
      <c r="D18" s="96">
        <f t="shared" si="2"/>
        <v>43952</v>
      </c>
      <c r="E18" s="97">
        <f t="shared" si="5"/>
        <v>26958333.333333332</v>
      </c>
      <c r="F18" s="98">
        <f t="shared" si="0"/>
        <v>26958333.333333332</v>
      </c>
      <c r="G18" s="99">
        <f t="shared" si="6"/>
        <v>64700000000</v>
      </c>
      <c r="H18" s="94">
        <f>(('CDS valuation'!$E$5/12)+1)^C18</f>
        <v>1.0050093828149413</v>
      </c>
      <c r="I18" s="97">
        <f t="shared" si="3"/>
        <v>26823961.839864075</v>
      </c>
      <c r="J18" s="98">
        <f t="shared" si="4"/>
        <v>26823961.839864075</v>
      </c>
      <c r="K18" s="93"/>
    </row>
    <row r="19" spans="2:11">
      <c r="B19" s="94">
        <f t="shared" si="1"/>
        <v>0.41666666666666669</v>
      </c>
      <c r="C19" s="95">
        <v>5</v>
      </c>
      <c r="D19" s="96">
        <f t="shared" si="2"/>
        <v>43983</v>
      </c>
      <c r="E19" s="97">
        <f t="shared" si="5"/>
        <v>26958333.333333332</v>
      </c>
      <c r="F19" s="98">
        <f t="shared" si="0"/>
        <v>26958333.333333332</v>
      </c>
      <c r="G19" s="99">
        <f t="shared" si="6"/>
        <v>64700000000</v>
      </c>
      <c r="H19" s="94">
        <f>(('CDS valuation'!$E$5/12)+1)^C19</f>
        <v>1.0062656445434599</v>
      </c>
      <c r="I19" s="97">
        <f t="shared" si="3"/>
        <v>26790473.747679479</v>
      </c>
      <c r="J19" s="98">
        <f t="shared" si="4"/>
        <v>26790473.747679479</v>
      </c>
      <c r="K19" s="93"/>
    </row>
    <row r="20" spans="2:11">
      <c r="B20" s="94">
        <f t="shared" si="1"/>
        <v>0.5</v>
      </c>
      <c r="C20" s="95">
        <v>6</v>
      </c>
      <c r="D20" s="96">
        <f t="shared" si="2"/>
        <v>44013</v>
      </c>
      <c r="E20" s="97">
        <f t="shared" si="5"/>
        <v>26958333.333333332</v>
      </c>
      <c r="F20" s="98">
        <f t="shared" si="0"/>
        <v>26958333.333333332</v>
      </c>
      <c r="G20" s="99">
        <f t="shared" si="6"/>
        <v>64700000000</v>
      </c>
      <c r="H20" s="94">
        <f>(('CDS valuation'!$E$5/12)+1)^C20</f>
        <v>1.0075234765991394</v>
      </c>
      <c r="I20" s="97">
        <f t="shared" si="3"/>
        <v>26757027.463350285</v>
      </c>
      <c r="J20" s="98">
        <f t="shared" si="4"/>
        <v>26757027.463350285</v>
      </c>
      <c r="K20" s="93"/>
    </row>
    <row r="21" spans="2:11">
      <c r="B21" s="94">
        <f t="shared" si="1"/>
        <v>0.58333333333333337</v>
      </c>
      <c r="C21" s="95">
        <v>7</v>
      </c>
      <c r="D21" s="96">
        <f t="shared" si="2"/>
        <v>44044</v>
      </c>
      <c r="E21" s="97">
        <f t="shared" si="5"/>
        <v>26958333.333333332</v>
      </c>
      <c r="F21" s="98">
        <f t="shared" si="0"/>
        <v>26958333.333333332</v>
      </c>
      <c r="G21" s="99">
        <f t="shared" si="6"/>
        <v>64700000000</v>
      </c>
      <c r="H21" s="94">
        <f>(('CDS valuation'!$E$5/12)+1)^C21</f>
        <v>1.0087828809448884</v>
      </c>
      <c r="I21" s="97">
        <f t="shared" si="3"/>
        <v>26723622.93468193</v>
      </c>
      <c r="J21" s="98">
        <f t="shared" si="4"/>
        <v>26723622.93468193</v>
      </c>
      <c r="K21" s="93"/>
    </row>
    <row r="22" spans="2:11">
      <c r="B22" s="94">
        <f t="shared" si="1"/>
        <v>0.66666666666666663</v>
      </c>
      <c r="C22" s="95">
        <v>8</v>
      </c>
      <c r="D22" s="96">
        <f t="shared" si="2"/>
        <v>44075</v>
      </c>
      <c r="E22" s="97">
        <f t="shared" si="5"/>
        <v>26958333.333333332</v>
      </c>
      <c r="F22" s="98">
        <f t="shared" si="0"/>
        <v>26958333.333333332</v>
      </c>
      <c r="G22" s="99">
        <f t="shared" si="6"/>
        <v>64700000000</v>
      </c>
      <c r="H22" s="94">
        <f>(('CDS valuation'!$E$5/12)+1)^C22</f>
        <v>1.0100438595460692</v>
      </c>
      <c r="I22" s="97">
        <f t="shared" si="3"/>
        <v>26690260.109545007</v>
      </c>
      <c r="J22" s="98">
        <f t="shared" si="4"/>
        <v>26690260.109545007</v>
      </c>
      <c r="K22" s="93"/>
    </row>
    <row r="23" spans="2:11">
      <c r="B23" s="94">
        <f t="shared" si="1"/>
        <v>0.75</v>
      </c>
      <c r="C23" s="95">
        <v>9</v>
      </c>
      <c r="D23" s="96">
        <f t="shared" si="2"/>
        <v>44105</v>
      </c>
      <c r="E23" s="97">
        <f t="shared" si="5"/>
        <v>26958333.333333332</v>
      </c>
      <c r="F23" s="98">
        <f t="shared" si="0"/>
        <v>26958333.333333332</v>
      </c>
      <c r="G23" s="99">
        <f t="shared" si="6"/>
        <v>64700000000</v>
      </c>
      <c r="H23" s="94">
        <f>(('CDS valuation'!$E$5/12)+1)^C23</f>
        <v>1.0113064143705017</v>
      </c>
      <c r="I23" s="97">
        <f t="shared" si="3"/>
        <v>26656938.935875166</v>
      </c>
      <c r="J23" s="98">
        <f t="shared" si="4"/>
        <v>26656938.935875166</v>
      </c>
      <c r="K23" s="93"/>
    </row>
    <row r="24" spans="2:11">
      <c r="B24" s="94">
        <f t="shared" si="1"/>
        <v>0.83333333333333337</v>
      </c>
      <c r="C24" s="95">
        <v>10</v>
      </c>
      <c r="D24" s="96">
        <f t="shared" si="2"/>
        <v>44136</v>
      </c>
      <c r="E24" s="97">
        <f t="shared" si="5"/>
        <v>26958333.333333332</v>
      </c>
      <c r="F24" s="98">
        <f t="shared" si="0"/>
        <v>26958333.333333332</v>
      </c>
      <c r="G24" s="99">
        <f t="shared" si="6"/>
        <v>64700000000</v>
      </c>
      <c r="H24" s="94">
        <f>(('CDS valuation'!$E$5/12)+1)^C24</f>
        <v>1.012570547388465</v>
      </c>
      <c r="I24" s="97">
        <f t="shared" si="3"/>
        <v>26623659.361673072</v>
      </c>
      <c r="J24" s="98">
        <f t="shared" si="4"/>
        <v>26623659.361673072</v>
      </c>
      <c r="K24" s="93"/>
    </row>
    <row r="25" spans="2:11">
      <c r="B25" s="94">
        <f t="shared" si="1"/>
        <v>0.91666666666666663</v>
      </c>
      <c r="C25" s="95">
        <v>11</v>
      </c>
      <c r="D25" s="96">
        <f t="shared" si="2"/>
        <v>44166</v>
      </c>
      <c r="E25" s="97">
        <f t="shared" si="5"/>
        <v>26958333.333333332</v>
      </c>
      <c r="F25" s="98">
        <f t="shared" si="0"/>
        <v>26958333.333333332</v>
      </c>
      <c r="G25" s="99">
        <f t="shared" si="6"/>
        <v>64700000000</v>
      </c>
      <c r="H25" s="94">
        <f>(('CDS valuation'!$E$5/12)+1)^C25</f>
        <v>1.0138362605727007</v>
      </c>
      <c r="I25" s="97">
        <f t="shared" si="3"/>
        <v>26590421.335004311</v>
      </c>
      <c r="J25" s="98">
        <f t="shared" si="4"/>
        <v>26590421.335004311</v>
      </c>
      <c r="K25" s="93"/>
    </row>
    <row r="26" spans="2:11">
      <c r="B26" s="94">
        <f t="shared" si="1"/>
        <v>1</v>
      </c>
      <c r="C26" s="95">
        <v>12</v>
      </c>
      <c r="D26" s="96">
        <f t="shared" si="2"/>
        <v>44197</v>
      </c>
      <c r="E26" s="97">
        <f t="shared" si="5"/>
        <v>26958333.333333332</v>
      </c>
      <c r="F26" s="98">
        <f t="shared" si="0"/>
        <v>26958333.333333332</v>
      </c>
      <c r="G26" s="99">
        <f t="shared" si="6"/>
        <v>64700000000</v>
      </c>
      <c r="H26" s="94">
        <f>(('CDS valuation'!$E$5/12)+1)^C26</f>
        <v>1.0151035558984163</v>
      </c>
      <c r="I26" s="97">
        <f t="shared" si="3"/>
        <v>26557224.80399932</v>
      </c>
      <c r="J26" s="98">
        <f t="shared" si="4"/>
        <v>26557224.80399932</v>
      </c>
      <c r="K26" s="93"/>
    </row>
    <row r="27" spans="2:11">
      <c r="B27" s="94">
        <f t="shared" si="1"/>
        <v>1.0833333333333333</v>
      </c>
      <c r="C27" s="95">
        <v>13</v>
      </c>
      <c r="D27" s="96">
        <f t="shared" si="2"/>
        <v>44228</v>
      </c>
      <c r="E27" s="97">
        <f t="shared" si="5"/>
        <v>26958333.333333332</v>
      </c>
      <c r="F27" s="98">
        <f t="shared" si="0"/>
        <v>26958333.333333332</v>
      </c>
      <c r="G27" s="99">
        <f t="shared" si="6"/>
        <v>64700000000</v>
      </c>
      <c r="H27" s="94">
        <f>(('CDS valuation'!$E$5/12)+1)^C27</f>
        <v>1.0163724353432892</v>
      </c>
      <c r="I27" s="97">
        <f t="shared" si="3"/>
        <v>26524069.716853257</v>
      </c>
      <c r="J27" s="98">
        <f t="shared" si="4"/>
        <v>26524069.716853257</v>
      </c>
      <c r="K27" s="93"/>
    </row>
    <row r="28" spans="2:11">
      <c r="B28" s="94">
        <f t="shared" si="1"/>
        <v>1.1666666666666667</v>
      </c>
      <c r="C28" s="95">
        <v>14</v>
      </c>
      <c r="D28" s="96">
        <f t="shared" si="2"/>
        <v>44256</v>
      </c>
      <c r="E28" s="97">
        <f t="shared" si="5"/>
        <v>26958333.333333332</v>
      </c>
      <c r="F28" s="98">
        <f t="shared" si="0"/>
        <v>26958333.333333332</v>
      </c>
      <c r="G28" s="99">
        <f t="shared" si="6"/>
        <v>64700000000</v>
      </c>
      <c r="H28" s="94">
        <f>(('CDS valuation'!$E$5/12)+1)^C28</f>
        <v>1.0176429008874686</v>
      </c>
      <c r="I28" s="97">
        <f t="shared" si="3"/>
        <v>26490956.021825969</v>
      </c>
      <c r="J28" s="98">
        <f t="shared" si="4"/>
        <v>26490956.021825969</v>
      </c>
      <c r="K28" s="93"/>
    </row>
    <row r="29" spans="2:11">
      <c r="B29" s="94">
        <f t="shared" si="1"/>
        <v>1.25</v>
      </c>
      <c r="C29" s="95">
        <v>15</v>
      </c>
      <c r="D29" s="96">
        <f t="shared" si="2"/>
        <v>44287</v>
      </c>
      <c r="E29" s="97">
        <f t="shared" si="5"/>
        <v>26958333.333333332</v>
      </c>
      <c r="F29" s="98">
        <f t="shared" si="0"/>
        <v>26958333.333333332</v>
      </c>
      <c r="G29" s="99">
        <f t="shared" si="6"/>
        <v>64700000000</v>
      </c>
      <c r="H29" s="94">
        <f>(('CDS valuation'!$E$5/12)+1)^C29</f>
        <v>1.0189149545135781</v>
      </c>
      <c r="I29" s="97">
        <f t="shared" si="3"/>
        <v>26457883.667241912</v>
      </c>
      <c r="J29" s="98">
        <f t="shared" si="4"/>
        <v>26457883.667241912</v>
      </c>
      <c r="K29" s="93"/>
    </row>
    <row r="30" spans="2:11">
      <c r="B30" s="94">
        <f t="shared" si="1"/>
        <v>1.3333333333333333</v>
      </c>
      <c r="C30" s="95">
        <v>16</v>
      </c>
      <c r="D30" s="96">
        <f t="shared" si="2"/>
        <v>44317</v>
      </c>
      <c r="E30" s="97">
        <f t="shared" si="5"/>
        <v>26958333.333333332</v>
      </c>
      <c r="F30" s="98">
        <f t="shared" si="0"/>
        <v>26958333.333333332</v>
      </c>
      <c r="G30" s="99">
        <f t="shared" si="6"/>
        <v>64700000000</v>
      </c>
      <c r="H30" s="94">
        <f>(('CDS valuation'!$E$5/12)+1)^C30</f>
        <v>1.0201885982067196</v>
      </c>
      <c r="I30" s="97">
        <f t="shared" si="3"/>
        <v>26424852.601490062</v>
      </c>
      <c r="J30" s="98">
        <f t="shared" si="4"/>
        <v>26424852.601490062</v>
      </c>
      <c r="K30" s="93"/>
    </row>
    <row r="31" spans="2:11">
      <c r="B31" s="94">
        <f t="shared" si="1"/>
        <v>1.4166666666666667</v>
      </c>
      <c r="C31" s="95">
        <v>17</v>
      </c>
      <c r="D31" s="96">
        <f t="shared" si="2"/>
        <v>44348</v>
      </c>
      <c r="E31" s="97">
        <f t="shared" si="5"/>
        <v>26958333.333333332</v>
      </c>
      <c r="F31" s="98">
        <f t="shared" si="0"/>
        <v>26958333.333333332</v>
      </c>
      <c r="G31" s="99">
        <f t="shared" si="6"/>
        <v>64700000000</v>
      </c>
      <c r="H31" s="94">
        <f>(('CDS valuation'!$E$5/12)+1)^C31</f>
        <v>1.0214638339544779</v>
      </c>
      <c r="I31" s="97">
        <f t="shared" si="3"/>
        <v>26391862.77302378</v>
      </c>
      <c r="J31" s="98">
        <f t="shared" si="4"/>
        <v>26391862.77302378</v>
      </c>
      <c r="K31" s="93"/>
    </row>
    <row r="32" spans="2:11">
      <c r="B32" s="94">
        <f t="shared" si="1"/>
        <v>1.5</v>
      </c>
      <c r="C32" s="95">
        <v>18</v>
      </c>
      <c r="D32" s="96">
        <f t="shared" si="2"/>
        <v>44378</v>
      </c>
      <c r="E32" s="97">
        <f t="shared" si="5"/>
        <v>26958333.333333332</v>
      </c>
      <c r="F32" s="98">
        <f t="shared" si="0"/>
        <v>26958333.333333332</v>
      </c>
      <c r="G32" s="99">
        <f t="shared" si="6"/>
        <v>64700000000</v>
      </c>
      <c r="H32" s="94">
        <f>(('CDS valuation'!$E$5/12)+1)^C32</f>
        <v>1.0227406637469212</v>
      </c>
      <c r="I32" s="97">
        <f t="shared" si="3"/>
        <v>26358914.130360827</v>
      </c>
      <c r="J32" s="98">
        <f t="shared" si="4"/>
        <v>26358914.130360827</v>
      </c>
      <c r="K32" s="93"/>
    </row>
    <row r="33" spans="2:11">
      <c r="B33" s="94">
        <f t="shared" si="1"/>
        <v>1.5833333333333333</v>
      </c>
      <c r="C33" s="95">
        <v>19</v>
      </c>
      <c r="D33" s="96">
        <f t="shared" si="2"/>
        <v>44409</v>
      </c>
      <c r="E33" s="97">
        <f t="shared" si="5"/>
        <v>26958333.333333332</v>
      </c>
      <c r="F33" s="98">
        <f t="shared" si="0"/>
        <v>26958333.333333332</v>
      </c>
      <c r="G33" s="99">
        <f t="shared" si="6"/>
        <v>64700000000</v>
      </c>
      <c r="H33" s="94">
        <f>(('CDS valuation'!$E$5/12)+1)^C33</f>
        <v>1.0240190895766048</v>
      </c>
      <c r="I33" s="97">
        <f t="shared" si="3"/>
        <v>26326006.622083224</v>
      </c>
      <c r="J33" s="98">
        <f t="shared" si="4"/>
        <v>26326006.622083224</v>
      </c>
      <c r="K33" s="93"/>
    </row>
    <row r="34" spans="2:11">
      <c r="B34" s="94">
        <f t="shared" si="1"/>
        <v>1.6666666666666667</v>
      </c>
      <c r="C34" s="95">
        <v>20</v>
      </c>
      <c r="D34" s="96">
        <f t="shared" si="2"/>
        <v>44440</v>
      </c>
      <c r="E34" s="97">
        <f t="shared" si="5"/>
        <v>26958333.333333332</v>
      </c>
      <c r="F34" s="98">
        <f t="shared" si="0"/>
        <v>26958333.333333332</v>
      </c>
      <c r="G34" s="99">
        <f t="shared" si="6"/>
        <v>64700000000</v>
      </c>
      <c r="H34" s="94">
        <f>(('CDS valuation'!$E$5/12)+1)^C34</f>
        <v>1.0252991134385754</v>
      </c>
      <c r="I34" s="97">
        <f t="shared" si="3"/>
        <v>26293140.196837183</v>
      </c>
      <c r="J34" s="98">
        <f t="shared" si="4"/>
        <v>26293140.196837183</v>
      </c>
      <c r="K34" s="93"/>
    </row>
    <row r="35" spans="2:11">
      <c r="B35" s="94">
        <f t="shared" si="1"/>
        <v>1.75</v>
      </c>
      <c r="C35" s="95">
        <v>21</v>
      </c>
      <c r="D35" s="96">
        <f t="shared" si="2"/>
        <v>44470</v>
      </c>
      <c r="E35" s="97">
        <f t="shared" si="5"/>
        <v>26958333.333333332</v>
      </c>
      <c r="F35" s="98">
        <f t="shared" si="0"/>
        <v>26958333.333333332</v>
      </c>
      <c r="G35" s="99">
        <f t="shared" si="6"/>
        <v>64700000000</v>
      </c>
      <c r="H35" s="94">
        <f>(('CDS valuation'!$E$5/12)+1)^C35</f>
        <v>1.0265807373303735</v>
      </c>
      <c r="I35" s="97">
        <f t="shared" si="3"/>
        <v>26260314.803333018</v>
      </c>
      <c r="J35" s="98">
        <f t="shared" si="4"/>
        <v>26260314.803333018</v>
      </c>
      <c r="K35" s="93"/>
    </row>
    <row r="36" spans="2:11">
      <c r="B36" s="94">
        <f t="shared" si="1"/>
        <v>1.8333333333333333</v>
      </c>
      <c r="C36" s="95">
        <v>22</v>
      </c>
      <c r="D36" s="96">
        <f t="shared" si="2"/>
        <v>44501</v>
      </c>
      <c r="E36" s="97">
        <f t="shared" si="5"/>
        <v>26958333.333333332</v>
      </c>
      <c r="F36" s="98">
        <f t="shared" si="0"/>
        <v>26958333.333333332</v>
      </c>
      <c r="G36" s="99">
        <f t="shared" si="6"/>
        <v>64700000000</v>
      </c>
      <c r="H36" s="94">
        <f>(('CDS valuation'!$E$5/12)+1)^C36</f>
        <v>1.0278639632520368</v>
      </c>
      <c r="I36" s="97">
        <f t="shared" si="3"/>
        <v>26227530.390345078</v>
      </c>
      <c r="J36" s="98">
        <f t="shared" si="4"/>
        <v>26227530.390345078</v>
      </c>
      <c r="K36" s="93"/>
    </row>
    <row r="37" spans="2:11">
      <c r="B37" s="94">
        <f t="shared" si="1"/>
        <v>1.9166666666666667</v>
      </c>
      <c r="C37" s="95">
        <v>23</v>
      </c>
      <c r="D37" s="96">
        <f t="shared" si="2"/>
        <v>44531</v>
      </c>
      <c r="E37" s="97">
        <f t="shared" si="5"/>
        <v>26958333.333333332</v>
      </c>
      <c r="F37" s="98">
        <f t="shared" si="0"/>
        <v>26958333.333333332</v>
      </c>
      <c r="G37" s="99">
        <f t="shared" si="6"/>
        <v>64700000000</v>
      </c>
      <c r="H37" s="94">
        <f>(('CDS valuation'!$E$5/12)+1)^C37</f>
        <v>1.0291487932061019</v>
      </c>
      <c r="I37" s="97">
        <f t="shared" si="3"/>
        <v>26194786.90671169</v>
      </c>
      <c r="J37" s="98">
        <f t="shared" si="4"/>
        <v>26194786.90671169</v>
      </c>
      <c r="K37" s="93"/>
    </row>
    <row r="38" spans="2:11">
      <c r="B38" s="94">
        <f t="shared" si="1"/>
        <v>2</v>
      </c>
      <c r="C38" s="95">
        <v>24</v>
      </c>
      <c r="D38" s="96">
        <f t="shared" si="2"/>
        <v>44562</v>
      </c>
      <c r="E38" s="97">
        <f t="shared" si="5"/>
        <v>26958333.333333332</v>
      </c>
      <c r="F38" s="98">
        <f t="shared" si="0"/>
        <v>26958333.333333332</v>
      </c>
      <c r="G38" s="99">
        <f t="shared" si="6"/>
        <v>64700000000</v>
      </c>
      <c r="H38" s="94">
        <f>(('CDS valuation'!$E$5/12)+1)^C38</f>
        <v>1.0304352291976091</v>
      </c>
      <c r="I38" s="97">
        <f t="shared" si="3"/>
        <v>26162084.301335029</v>
      </c>
      <c r="J38" s="98">
        <f t="shared" si="4"/>
        <v>26162084.301335029</v>
      </c>
      <c r="K38" s="93"/>
    </row>
    <row r="39" spans="2:11">
      <c r="B39" s="94">
        <f t="shared" si="1"/>
        <v>2.0833333333333335</v>
      </c>
      <c r="C39" s="95">
        <v>25</v>
      </c>
      <c r="D39" s="96">
        <f t="shared" si="2"/>
        <v>44593</v>
      </c>
      <c r="E39" s="97">
        <f t="shared" si="5"/>
        <v>26958333.333333332</v>
      </c>
      <c r="F39" s="98">
        <f t="shared" si="0"/>
        <v>26958333.333333332</v>
      </c>
      <c r="G39" s="99">
        <f t="shared" si="6"/>
        <v>64700000000</v>
      </c>
      <c r="H39" s="94">
        <f>(('CDS valuation'!$E$5/12)+1)^C39</f>
        <v>1.031723273234106</v>
      </c>
      <c r="I39" s="97">
        <f t="shared" si="3"/>
        <v>26129422.523181058</v>
      </c>
      <c r="J39" s="98">
        <f t="shared" si="4"/>
        <v>26129422.523181058</v>
      </c>
      <c r="K39" s="93"/>
    </row>
    <row r="40" spans="2:11">
      <c r="B40" s="94">
        <f t="shared" si="1"/>
        <v>2.1666666666666665</v>
      </c>
      <c r="C40" s="95">
        <v>26</v>
      </c>
      <c r="D40" s="96">
        <f t="shared" si="2"/>
        <v>44621</v>
      </c>
      <c r="E40" s="97">
        <f t="shared" si="5"/>
        <v>26958333.333333332</v>
      </c>
      <c r="F40" s="98">
        <f t="shared" si="0"/>
        <v>26958333.333333332</v>
      </c>
      <c r="G40" s="99">
        <f t="shared" si="6"/>
        <v>64700000000</v>
      </c>
      <c r="H40" s="94">
        <f>(('CDS valuation'!$E$5/12)+1)^C40</f>
        <v>1.0330129273256488</v>
      </c>
      <c r="I40" s="97">
        <f t="shared" si="3"/>
        <v>26096801.521279454</v>
      </c>
      <c r="J40" s="98">
        <f t="shared" si="4"/>
        <v>26096801.521279454</v>
      </c>
      <c r="K40" s="93"/>
    </row>
    <row r="41" spans="2:11">
      <c r="B41" s="94">
        <f t="shared" si="1"/>
        <v>2.25</v>
      </c>
      <c r="C41" s="95">
        <v>27</v>
      </c>
      <c r="D41" s="96">
        <f t="shared" si="2"/>
        <v>44652</v>
      </c>
      <c r="E41" s="97">
        <f t="shared" si="5"/>
        <v>26958333.333333332</v>
      </c>
      <c r="F41" s="98">
        <f t="shared" si="0"/>
        <v>26958333.333333332</v>
      </c>
      <c r="G41" s="99">
        <f t="shared" si="6"/>
        <v>64700000000</v>
      </c>
      <c r="H41" s="94">
        <f>(('CDS valuation'!$E$5/12)+1)^C41</f>
        <v>1.0343041934848061</v>
      </c>
      <c r="I41" s="97">
        <f t="shared" si="3"/>
        <v>26064221.244723544</v>
      </c>
      <c r="J41" s="98">
        <f t="shared" si="4"/>
        <v>26064221.244723544</v>
      </c>
      <c r="K41" s="93"/>
    </row>
    <row r="42" spans="2:11">
      <c r="B42" s="94">
        <f t="shared" si="1"/>
        <v>2.3333333333333335</v>
      </c>
      <c r="C42" s="95">
        <v>28</v>
      </c>
      <c r="D42" s="96">
        <f t="shared" si="2"/>
        <v>44682</v>
      </c>
      <c r="E42" s="97">
        <f t="shared" si="5"/>
        <v>26958333.333333332</v>
      </c>
      <c r="F42" s="98">
        <f t="shared" si="0"/>
        <v>26958333.333333332</v>
      </c>
      <c r="G42" s="99">
        <f t="shared" si="6"/>
        <v>64700000000</v>
      </c>
      <c r="H42" s="94">
        <f>(('CDS valuation'!$E$5/12)+1)^C42</f>
        <v>1.0355970737266618</v>
      </c>
      <c r="I42" s="97">
        <f t="shared" si="3"/>
        <v>26031681.642670214</v>
      </c>
      <c r="J42" s="98">
        <f t="shared" si="4"/>
        <v>26031681.642670214</v>
      </c>
      <c r="K42" s="93"/>
    </row>
    <row r="43" spans="2:11">
      <c r="B43" s="94">
        <f t="shared" si="1"/>
        <v>2.4166666666666665</v>
      </c>
      <c r="C43" s="95">
        <v>29</v>
      </c>
      <c r="D43" s="96">
        <f t="shared" si="2"/>
        <v>44713</v>
      </c>
      <c r="E43" s="97">
        <f t="shared" si="5"/>
        <v>26958333.333333332</v>
      </c>
      <c r="F43" s="98">
        <f t="shared" si="0"/>
        <v>26958333.333333332</v>
      </c>
      <c r="G43" s="99">
        <f t="shared" si="6"/>
        <v>64700000000</v>
      </c>
      <c r="H43" s="94">
        <f>(('CDS valuation'!$E$5/12)+1)^C43</f>
        <v>1.0368915700688199</v>
      </c>
      <c r="I43" s="97">
        <f t="shared" si="3"/>
        <v>25999182.664339792</v>
      </c>
      <c r="J43" s="98">
        <f t="shared" si="4"/>
        <v>25999182.664339792</v>
      </c>
      <c r="K43" s="93"/>
    </row>
    <row r="44" spans="2:11">
      <c r="B44" s="94">
        <f t="shared" si="1"/>
        <v>2.5</v>
      </c>
      <c r="C44" s="95">
        <v>30</v>
      </c>
      <c r="D44" s="96">
        <f t="shared" si="2"/>
        <v>44743</v>
      </c>
      <c r="E44" s="97">
        <f t="shared" si="5"/>
        <v>26958333.333333332</v>
      </c>
      <c r="F44" s="98">
        <f t="shared" si="0"/>
        <v>26958333.333333332</v>
      </c>
      <c r="G44" s="99">
        <f t="shared" si="6"/>
        <v>64700000000</v>
      </c>
      <c r="H44" s="94">
        <f>(('CDS valuation'!$E$5/12)+1)^C44</f>
        <v>1.0381876845314062</v>
      </c>
      <c r="I44" s="97">
        <f t="shared" si="3"/>
        <v>25966724.259016015</v>
      </c>
      <c r="J44" s="98">
        <f t="shared" si="4"/>
        <v>25966724.259016015</v>
      </c>
      <c r="K44" s="93"/>
    </row>
    <row r="45" spans="2:11">
      <c r="B45" s="94">
        <f t="shared" si="1"/>
        <v>2.5833333333333335</v>
      </c>
      <c r="C45" s="95">
        <v>31</v>
      </c>
      <c r="D45" s="96">
        <f t="shared" si="2"/>
        <v>44774</v>
      </c>
      <c r="E45" s="97">
        <f t="shared" si="5"/>
        <v>26958333.333333332</v>
      </c>
      <c r="F45" s="98">
        <f t="shared" si="0"/>
        <v>26958333.333333332</v>
      </c>
      <c r="G45" s="99">
        <f t="shared" si="6"/>
        <v>64700000000</v>
      </c>
      <c r="H45" s="94">
        <f>(('CDS valuation'!$E$5/12)+1)^C45</f>
        <v>1.0394854191370706</v>
      </c>
      <c r="I45" s="97">
        <f t="shared" si="3"/>
        <v>25934306.376045953</v>
      </c>
      <c r="J45" s="98">
        <f t="shared" si="4"/>
        <v>25934306.376045953</v>
      </c>
      <c r="K45" s="93"/>
    </row>
    <row r="46" spans="2:11">
      <c r="B46" s="94">
        <f t="shared" si="1"/>
        <v>2.6666666666666665</v>
      </c>
      <c r="C46" s="95">
        <v>32</v>
      </c>
      <c r="D46" s="96">
        <f t="shared" si="2"/>
        <v>44805</v>
      </c>
      <c r="E46" s="97">
        <f t="shared" si="5"/>
        <v>26958333.333333332</v>
      </c>
      <c r="F46" s="98">
        <f t="shared" si="0"/>
        <v>26958333.333333332</v>
      </c>
      <c r="G46" s="99">
        <f t="shared" si="6"/>
        <v>64700000000</v>
      </c>
      <c r="H46" s="94">
        <f>(('CDS valuation'!$E$5/12)+1)^C46</f>
        <v>1.0407847759109916</v>
      </c>
      <c r="I46" s="97">
        <f t="shared" si="3"/>
        <v>25901928.964839913</v>
      </c>
      <c r="J46" s="98">
        <f t="shared" si="4"/>
        <v>25901928.964839913</v>
      </c>
      <c r="K46" s="93"/>
    </row>
    <row r="47" spans="2:11">
      <c r="B47" s="94">
        <f t="shared" si="1"/>
        <v>2.75</v>
      </c>
      <c r="C47" s="95">
        <v>33</v>
      </c>
      <c r="D47" s="96">
        <f t="shared" si="2"/>
        <v>44835</v>
      </c>
      <c r="E47" s="97">
        <f t="shared" si="5"/>
        <v>26958333.333333332</v>
      </c>
      <c r="F47" s="98">
        <f t="shared" ref="F47:F78" si="7">(G47*$E$8)/12</f>
        <v>26958333.333333332</v>
      </c>
      <c r="G47" s="99">
        <f t="shared" si="6"/>
        <v>64700000000</v>
      </c>
      <c r="H47" s="94">
        <f>(('CDS valuation'!$E$5/12)+1)^C47</f>
        <v>1.0420857568808803</v>
      </c>
      <c r="I47" s="97">
        <f t="shared" si="3"/>
        <v>25869591.974871323</v>
      </c>
      <c r="J47" s="98">
        <f t="shared" si="4"/>
        <v>25869591.974871323</v>
      </c>
      <c r="K47" s="93"/>
    </row>
    <row r="48" spans="2:11">
      <c r="B48" s="94">
        <f t="shared" si="1"/>
        <v>2.8333333333333335</v>
      </c>
      <c r="C48" s="95">
        <v>34</v>
      </c>
      <c r="D48" s="96">
        <f t="shared" si="2"/>
        <v>44866</v>
      </c>
      <c r="E48" s="97">
        <f t="shared" si="5"/>
        <v>26958333.333333332</v>
      </c>
      <c r="F48" s="98">
        <f t="shared" si="7"/>
        <v>26958333.333333332</v>
      </c>
      <c r="G48" s="99">
        <f t="shared" si="6"/>
        <v>64700000000</v>
      </c>
      <c r="H48" s="94">
        <f>(('CDS valuation'!$E$5/12)+1)^C48</f>
        <v>1.0433883640769814</v>
      </c>
      <c r="I48" s="97">
        <f t="shared" si="3"/>
        <v>25837295.355676729</v>
      </c>
      <c r="J48" s="98">
        <f t="shared" si="4"/>
        <v>25837295.355676729</v>
      </c>
      <c r="K48" s="93"/>
    </row>
    <row r="49" spans="2:11">
      <c r="B49" s="94">
        <f t="shared" si="1"/>
        <v>2.9166666666666665</v>
      </c>
      <c r="C49" s="95">
        <v>35</v>
      </c>
      <c r="D49" s="96">
        <f t="shared" si="2"/>
        <v>44896</v>
      </c>
      <c r="E49" s="97">
        <f t="shared" si="5"/>
        <v>26958333.333333332</v>
      </c>
      <c r="F49" s="98">
        <f t="shared" si="7"/>
        <v>26958333.333333332</v>
      </c>
      <c r="G49" s="99">
        <f t="shared" si="6"/>
        <v>64700000000</v>
      </c>
      <c r="H49" s="94">
        <f>(('CDS valuation'!$E$5/12)+1)^C49</f>
        <v>1.0446925995320777</v>
      </c>
      <c r="I49" s="97">
        <f t="shared" si="3"/>
        <v>25805039.056855656</v>
      </c>
      <c r="J49" s="98">
        <f t="shared" si="4"/>
        <v>25805039.056855656</v>
      </c>
      <c r="K49" s="93"/>
    </row>
    <row r="50" spans="2:11">
      <c r="B50" s="94">
        <f t="shared" si="1"/>
        <v>3</v>
      </c>
      <c r="C50" s="95">
        <v>36</v>
      </c>
      <c r="D50" s="96">
        <f t="shared" si="2"/>
        <v>44927</v>
      </c>
      <c r="E50" s="97">
        <f t="shared" si="5"/>
        <v>26958333.333333332</v>
      </c>
      <c r="F50" s="98">
        <f t="shared" si="7"/>
        <v>26958333.333333332</v>
      </c>
      <c r="G50" s="99">
        <f t="shared" si="6"/>
        <v>64700000000</v>
      </c>
      <c r="H50" s="94">
        <f>(('CDS valuation'!$E$5/12)+1)^C50</f>
        <v>1.0459984652814927</v>
      </c>
      <c r="I50" s="97">
        <f t="shared" si="3"/>
        <v>25772823.028070573</v>
      </c>
      <c r="J50" s="98">
        <f t="shared" si="4"/>
        <v>25772823.028070573</v>
      </c>
      <c r="K50" s="93"/>
    </row>
    <row r="51" spans="2:11">
      <c r="B51" s="94">
        <f t="shared" si="1"/>
        <v>3.0833333333333335</v>
      </c>
      <c r="C51" s="95">
        <v>37</v>
      </c>
      <c r="D51" s="96">
        <f t="shared" si="2"/>
        <v>44958</v>
      </c>
      <c r="E51" s="97">
        <f t="shared" si="5"/>
        <v>26958333.333333332</v>
      </c>
      <c r="F51" s="98">
        <f t="shared" si="7"/>
        <v>26958333.333333332</v>
      </c>
      <c r="G51" s="99">
        <f t="shared" si="6"/>
        <v>64700000000</v>
      </c>
      <c r="H51" s="94">
        <f>(('CDS valuation'!$E$5/12)+1)^C51</f>
        <v>1.0473059633630946</v>
      </c>
      <c r="I51" s="97">
        <f t="shared" si="3"/>
        <v>25740647.219046764</v>
      </c>
      <c r="J51" s="98">
        <f t="shared" si="4"/>
        <v>25740647.219046764</v>
      </c>
      <c r="K51" s="93"/>
    </row>
    <row r="52" spans="2:11">
      <c r="B52" s="94">
        <f t="shared" si="1"/>
        <v>3.1666666666666665</v>
      </c>
      <c r="C52" s="95">
        <v>38</v>
      </c>
      <c r="D52" s="96">
        <f t="shared" si="2"/>
        <v>44986</v>
      </c>
      <c r="E52" s="97">
        <f t="shared" si="5"/>
        <v>26958333.333333332</v>
      </c>
      <c r="F52" s="98">
        <f t="shared" si="7"/>
        <v>26958333.333333332</v>
      </c>
      <c r="G52" s="99">
        <f t="shared" si="6"/>
        <v>64700000000</v>
      </c>
      <c r="H52" s="94">
        <f>(('CDS valuation'!$E$5/12)+1)^C52</f>
        <v>1.0486150958172986</v>
      </c>
      <c r="I52" s="97">
        <f t="shared" si="3"/>
        <v>25708511.579572294</v>
      </c>
      <c r="J52" s="98">
        <f t="shared" si="4"/>
        <v>25708511.579572294</v>
      </c>
      <c r="K52" s="93"/>
    </row>
    <row r="53" spans="2:11">
      <c r="B53" s="94">
        <f t="shared" si="1"/>
        <v>3.25</v>
      </c>
      <c r="C53" s="95">
        <v>39</v>
      </c>
      <c r="D53" s="96">
        <f t="shared" si="2"/>
        <v>45017</v>
      </c>
      <c r="E53" s="97">
        <f t="shared" si="5"/>
        <v>26958333.333333332</v>
      </c>
      <c r="F53" s="98">
        <f t="shared" si="7"/>
        <v>26958333.333333332</v>
      </c>
      <c r="G53" s="99">
        <f t="shared" si="6"/>
        <v>64700000000</v>
      </c>
      <c r="H53" s="94">
        <f>(('CDS valuation'!$E$5/12)+1)^C53</f>
        <v>1.0499258646870702</v>
      </c>
      <c r="I53" s="97">
        <f t="shared" si="3"/>
        <v>25676416.059497923</v>
      </c>
      <c r="J53" s="98">
        <f t="shared" si="4"/>
        <v>25676416.059497923</v>
      </c>
      <c r="K53" s="93"/>
    </row>
    <row r="54" spans="2:11">
      <c r="B54" s="94">
        <f t="shared" si="1"/>
        <v>3.3333333333333335</v>
      </c>
      <c r="C54" s="95">
        <v>40</v>
      </c>
      <c r="D54" s="96">
        <f t="shared" si="2"/>
        <v>45047</v>
      </c>
      <c r="E54" s="97">
        <f t="shared" si="5"/>
        <v>26958333.333333332</v>
      </c>
      <c r="F54" s="98">
        <f t="shared" si="7"/>
        <v>26958333.333333332</v>
      </c>
      <c r="G54" s="99">
        <f t="shared" si="6"/>
        <v>64700000000</v>
      </c>
      <c r="H54" s="94">
        <f>(('CDS valuation'!$E$5/12)+1)^C54</f>
        <v>1.0512382720179287</v>
      </c>
      <c r="I54" s="97">
        <f t="shared" si="3"/>
        <v>25644360.608737007</v>
      </c>
      <c r="J54" s="98">
        <f t="shared" si="4"/>
        <v>25644360.608737007</v>
      </c>
      <c r="K54" s="93"/>
    </row>
    <row r="55" spans="2:11">
      <c r="B55" s="94">
        <f t="shared" si="1"/>
        <v>3.4166666666666665</v>
      </c>
      <c r="C55" s="95">
        <v>41</v>
      </c>
      <c r="D55" s="96">
        <f t="shared" si="2"/>
        <v>45078</v>
      </c>
      <c r="E55" s="97">
        <f t="shared" si="5"/>
        <v>26958333.333333332</v>
      </c>
      <c r="F55" s="98">
        <f t="shared" si="7"/>
        <v>26958333.333333332</v>
      </c>
      <c r="G55" s="99">
        <f t="shared" si="6"/>
        <v>64700000000</v>
      </c>
      <c r="H55" s="94">
        <f>(('CDS valuation'!$E$5/12)+1)^C55</f>
        <v>1.0525523198579512</v>
      </c>
      <c r="I55" s="97">
        <f t="shared" si="3"/>
        <v>25612345.177265428</v>
      </c>
      <c r="J55" s="98">
        <f t="shared" si="4"/>
        <v>25612345.177265428</v>
      </c>
      <c r="K55" s="93"/>
    </row>
    <row r="56" spans="2:11">
      <c r="B56" s="94">
        <f t="shared" si="1"/>
        <v>3.5</v>
      </c>
      <c r="C56" s="95">
        <v>42</v>
      </c>
      <c r="D56" s="96">
        <f t="shared" si="2"/>
        <v>45108</v>
      </c>
      <c r="E56" s="97">
        <f t="shared" si="5"/>
        <v>26958333.333333332</v>
      </c>
      <c r="F56" s="98">
        <f t="shared" si="7"/>
        <v>26958333.333333332</v>
      </c>
      <c r="G56" s="99">
        <f t="shared" si="6"/>
        <v>64700000000</v>
      </c>
      <c r="H56" s="94">
        <f>(('CDS valuation'!$E$5/12)+1)^C56</f>
        <v>1.0538680102577735</v>
      </c>
      <c r="I56" s="97">
        <f t="shared" si="3"/>
        <v>25580369.715121526</v>
      </c>
      <c r="J56" s="98">
        <f t="shared" si="4"/>
        <v>25580369.715121526</v>
      </c>
      <c r="K56" s="93"/>
    </row>
    <row r="57" spans="2:11">
      <c r="B57" s="94">
        <f t="shared" si="1"/>
        <v>3.5833333333333335</v>
      </c>
      <c r="C57" s="95">
        <v>43</v>
      </c>
      <c r="D57" s="96">
        <f t="shared" si="2"/>
        <v>45139</v>
      </c>
      <c r="E57" s="97">
        <f t="shared" si="5"/>
        <v>26958333.333333332</v>
      </c>
      <c r="F57" s="98">
        <f t="shared" si="7"/>
        <v>26958333.333333332</v>
      </c>
      <c r="G57" s="99">
        <f t="shared" si="6"/>
        <v>64700000000</v>
      </c>
      <c r="H57" s="94">
        <f>(('CDS valuation'!$E$5/12)+1)^C57</f>
        <v>1.0551853452705959</v>
      </c>
      <c r="I57" s="97">
        <f t="shared" si="3"/>
        <v>25548434.172406014</v>
      </c>
      <c r="J57" s="98">
        <f t="shared" si="4"/>
        <v>25548434.172406014</v>
      </c>
      <c r="K57" s="93"/>
    </row>
    <row r="58" spans="2:11">
      <c r="B58" s="94">
        <f t="shared" si="1"/>
        <v>3.6666666666666665</v>
      </c>
      <c r="C58" s="95">
        <v>44</v>
      </c>
      <c r="D58" s="96">
        <f t="shared" si="2"/>
        <v>45170</v>
      </c>
      <c r="E58" s="97">
        <f t="shared" si="5"/>
        <v>26958333.333333332</v>
      </c>
      <c r="F58" s="98">
        <f t="shared" si="7"/>
        <v>26958333.333333332</v>
      </c>
      <c r="G58" s="99">
        <f t="shared" si="6"/>
        <v>64700000000</v>
      </c>
      <c r="H58" s="94">
        <f>(('CDS valuation'!$E$5/12)+1)^C58</f>
        <v>1.0565043269521839</v>
      </c>
      <c r="I58" s="97">
        <f t="shared" si="3"/>
        <v>25516538.49928192</v>
      </c>
      <c r="J58" s="98">
        <f t="shared" si="4"/>
        <v>25516538.49928192</v>
      </c>
      <c r="K58" s="93"/>
    </row>
    <row r="59" spans="2:11">
      <c r="B59" s="94">
        <f t="shared" si="1"/>
        <v>3.75</v>
      </c>
      <c r="C59" s="95">
        <v>45</v>
      </c>
      <c r="D59" s="96">
        <f t="shared" si="2"/>
        <v>45200</v>
      </c>
      <c r="E59" s="97">
        <f t="shared" si="5"/>
        <v>26958333.333333332</v>
      </c>
      <c r="F59" s="98">
        <f t="shared" si="7"/>
        <v>26958333.333333332</v>
      </c>
      <c r="G59" s="99">
        <f t="shared" si="6"/>
        <v>64700000000</v>
      </c>
      <c r="H59" s="94">
        <f>(('CDS valuation'!$E$5/12)+1)^C59</f>
        <v>1.057824957360874</v>
      </c>
      <c r="I59" s="97">
        <f t="shared" si="3"/>
        <v>25484682.645974454</v>
      </c>
      <c r="J59" s="98">
        <f t="shared" si="4"/>
        <v>25484682.645974454</v>
      </c>
      <c r="K59" s="93"/>
    </row>
    <row r="60" spans="2:11">
      <c r="B60" s="94">
        <f t="shared" si="1"/>
        <v>3.8333333333333335</v>
      </c>
      <c r="C60" s="95">
        <v>46</v>
      </c>
      <c r="D60" s="96">
        <f t="shared" si="2"/>
        <v>45231</v>
      </c>
      <c r="E60" s="97">
        <f t="shared" si="5"/>
        <v>26958333.333333332</v>
      </c>
      <c r="F60" s="98">
        <f t="shared" si="7"/>
        <v>26958333.333333332</v>
      </c>
      <c r="G60" s="99">
        <f t="shared" si="6"/>
        <v>64700000000</v>
      </c>
      <c r="H60" s="94">
        <f>(('CDS valuation'!$E$5/12)+1)^C60</f>
        <v>1.0591472385575753</v>
      </c>
      <c r="I60" s="97">
        <f t="shared" si="3"/>
        <v>25452866.562770985</v>
      </c>
      <c r="J60" s="98">
        <f t="shared" si="4"/>
        <v>25452866.562770985</v>
      </c>
      <c r="K60" s="93"/>
    </row>
    <row r="61" spans="2:11">
      <c r="B61" s="94">
        <f t="shared" si="1"/>
        <v>3.9166666666666665</v>
      </c>
      <c r="C61" s="95">
        <v>47</v>
      </c>
      <c r="D61" s="96">
        <f t="shared" si="2"/>
        <v>45261</v>
      </c>
      <c r="E61" s="97">
        <f t="shared" si="5"/>
        <v>26958333.333333332</v>
      </c>
      <c r="F61" s="98">
        <f t="shared" si="7"/>
        <v>26958333.333333332</v>
      </c>
      <c r="G61" s="99">
        <f t="shared" si="6"/>
        <v>64700000000</v>
      </c>
      <c r="H61" s="94">
        <f>(('CDS valuation'!$E$5/12)+1)^C61</f>
        <v>1.0604711726057725</v>
      </c>
      <c r="I61" s="97">
        <f t="shared" si="3"/>
        <v>25421090.200020954</v>
      </c>
      <c r="J61" s="98">
        <f t="shared" si="4"/>
        <v>25421090.200020954</v>
      </c>
      <c r="K61" s="93"/>
    </row>
    <row r="62" spans="2:11">
      <c r="B62" s="94">
        <f t="shared" si="1"/>
        <v>4</v>
      </c>
      <c r="C62" s="95">
        <v>48</v>
      </c>
      <c r="D62" s="96">
        <f t="shared" si="2"/>
        <v>45292</v>
      </c>
      <c r="E62" s="97">
        <f t="shared" si="5"/>
        <v>26958333.333333332</v>
      </c>
      <c r="F62" s="98">
        <f t="shared" si="7"/>
        <v>26958333.333333332</v>
      </c>
      <c r="G62" s="99">
        <f t="shared" si="6"/>
        <v>64700000000</v>
      </c>
      <c r="H62" s="94">
        <f>(('CDS valuation'!$E$5/12)+1)^C62</f>
        <v>1.0617967615715294</v>
      </c>
      <c r="I62" s="97">
        <f t="shared" si="3"/>
        <v>25389353.508135792</v>
      </c>
      <c r="J62" s="98">
        <f t="shared" si="4"/>
        <v>25389353.508135792</v>
      </c>
      <c r="K62" s="93"/>
    </row>
    <row r="63" spans="2:11">
      <c r="B63" s="94">
        <f t="shared" si="1"/>
        <v>4.083333333333333</v>
      </c>
      <c r="C63" s="95">
        <v>49</v>
      </c>
      <c r="D63" s="96">
        <f t="shared" si="2"/>
        <v>45323</v>
      </c>
      <c r="E63" s="97">
        <f t="shared" si="5"/>
        <v>26958333.333333332</v>
      </c>
      <c r="F63" s="98">
        <f t="shared" si="7"/>
        <v>26958333.333333332</v>
      </c>
      <c r="G63" s="99">
        <f t="shared" si="6"/>
        <v>64700000000</v>
      </c>
      <c r="H63" s="94">
        <f>(('CDS valuation'!$E$5/12)+1)^C63</f>
        <v>1.0631240075234936</v>
      </c>
      <c r="I63" s="97">
        <f t="shared" si="3"/>
        <v>25357656.437588811</v>
      </c>
      <c r="J63" s="98">
        <f t="shared" si="4"/>
        <v>25357656.437588811</v>
      </c>
      <c r="K63" s="93"/>
    </row>
    <row r="64" spans="2:11">
      <c r="B64" s="94">
        <f t="shared" si="1"/>
        <v>4.166666666666667</v>
      </c>
      <c r="C64" s="95">
        <v>50</v>
      </c>
      <c r="D64" s="96">
        <f t="shared" si="2"/>
        <v>45352</v>
      </c>
      <c r="E64" s="97">
        <f t="shared" si="5"/>
        <v>26958333.333333332</v>
      </c>
      <c r="F64" s="98">
        <f t="shared" si="7"/>
        <v>26958333.333333332</v>
      </c>
      <c r="G64" s="99">
        <f t="shared" si="6"/>
        <v>64700000000</v>
      </c>
      <c r="H64" s="94">
        <f>(('CDS valuation'!$E$5/12)+1)^C64</f>
        <v>1.0644529125328981</v>
      </c>
      <c r="I64" s="97">
        <f t="shared" si="3"/>
        <v>25325998.938915163</v>
      </c>
      <c r="J64" s="98">
        <f t="shared" si="4"/>
        <v>25325998.938915163</v>
      </c>
      <c r="K64" s="93"/>
    </row>
    <row r="65" spans="2:11">
      <c r="B65" s="94">
        <f t="shared" si="1"/>
        <v>4.25</v>
      </c>
      <c r="C65" s="95">
        <v>51</v>
      </c>
      <c r="D65" s="96">
        <f t="shared" si="2"/>
        <v>45383</v>
      </c>
      <c r="E65" s="97">
        <f t="shared" si="5"/>
        <v>26958333.333333332</v>
      </c>
      <c r="F65" s="98">
        <f t="shared" si="7"/>
        <v>26958333.333333332</v>
      </c>
      <c r="G65" s="99">
        <f t="shared" si="6"/>
        <v>64700000000</v>
      </c>
      <c r="H65" s="94">
        <f>(('CDS valuation'!$E$5/12)+1)^C65</f>
        <v>1.0657834786735643</v>
      </c>
      <c r="I65" s="97">
        <f t="shared" si="3"/>
        <v>25294380.962711774</v>
      </c>
      <c r="J65" s="98">
        <f t="shared" si="4"/>
        <v>25294380.962711774</v>
      </c>
      <c r="K65" s="93"/>
    </row>
    <row r="66" spans="2:11">
      <c r="B66" s="94">
        <f t="shared" si="1"/>
        <v>4.333333333333333</v>
      </c>
      <c r="C66" s="95">
        <v>52</v>
      </c>
      <c r="D66" s="96">
        <f t="shared" si="2"/>
        <v>45413</v>
      </c>
      <c r="E66" s="97">
        <f t="shared" si="5"/>
        <v>26958333.333333332</v>
      </c>
      <c r="F66" s="98">
        <f t="shared" si="7"/>
        <v>26958333.333333332</v>
      </c>
      <c r="G66" s="99">
        <f t="shared" si="6"/>
        <v>64700000000</v>
      </c>
      <c r="H66" s="94">
        <f>(('CDS valuation'!$E$5/12)+1)^C66</f>
        <v>1.067115708021906</v>
      </c>
      <c r="I66" s="97">
        <f t="shared" si="3"/>
        <v>25262802.459637232</v>
      </c>
      <c r="J66" s="98">
        <f t="shared" si="4"/>
        <v>25262802.459637232</v>
      </c>
      <c r="K66" s="93"/>
    </row>
    <row r="67" spans="2:11">
      <c r="B67" s="94">
        <f t="shared" si="1"/>
        <v>4.416666666666667</v>
      </c>
      <c r="C67" s="95">
        <v>53</v>
      </c>
      <c r="D67" s="96">
        <f t="shared" si="2"/>
        <v>45444</v>
      </c>
      <c r="E67" s="97">
        <f t="shared" si="5"/>
        <v>26958333.333333332</v>
      </c>
      <c r="F67" s="98">
        <f t="shared" si="7"/>
        <v>26958333.333333332</v>
      </c>
      <c r="G67" s="99">
        <f t="shared" si="6"/>
        <v>64700000000</v>
      </c>
      <c r="H67" s="94">
        <f>(('CDS valuation'!$E$5/12)+1)^C67</f>
        <v>1.0684496026569332</v>
      </c>
      <c r="I67" s="97">
        <f t="shared" si="3"/>
        <v>25231263.380411722</v>
      </c>
      <c r="J67" s="98">
        <f t="shared" si="4"/>
        <v>25231263.380411722</v>
      </c>
      <c r="K67" s="93"/>
    </row>
    <row r="68" spans="2:11">
      <c r="B68" s="94">
        <f t="shared" si="1"/>
        <v>4.5</v>
      </c>
      <c r="C68" s="95">
        <v>54</v>
      </c>
      <c r="D68" s="96">
        <f t="shared" si="2"/>
        <v>45474</v>
      </c>
      <c r="E68" s="97">
        <f t="shared" si="5"/>
        <v>26958333.333333332</v>
      </c>
      <c r="F68" s="98">
        <f t="shared" si="7"/>
        <v>26958333.333333332</v>
      </c>
      <c r="G68" s="99">
        <f t="shared" si="6"/>
        <v>64700000000</v>
      </c>
      <c r="H68" s="94">
        <f>(('CDS valuation'!$E$5/12)+1)^C68</f>
        <v>1.0697851646602548</v>
      </c>
      <c r="I68" s="97">
        <f t="shared" si="3"/>
        <v>25199763.675816942</v>
      </c>
      <c r="J68" s="98">
        <f t="shared" si="4"/>
        <v>25199763.675816942</v>
      </c>
      <c r="K68" s="93"/>
    </row>
    <row r="69" spans="2:11">
      <c r="B69" s="94">
        <f t="shared" si="1"/>
        <v>4.583333333333333</v>
      </c>
      <c r="C69" s="95">
        <v>55</v>
      </c>
      <c r="D69" s="96">
        <f t="shared" si="2"/>
        <v>45505</v>
      </c>
      <c r="E69" s="97">
        <f t="shared" si="5"/>
        <v>26958333.333333332</v>
      </c>
      <c r="F69" s="98">
        <f t="shared" si="7"/>
        <v>26958333.333333332</v>
      </c>
      <c r="G69" s="99">
        <f t="shared" si="6"/>
        <v>64700000000</v>
      </c>
      <c r="H69" s="94">
        <f>(('CDS valuation'!$E$5/12)+1)^C69</f>
        <v>1.0711223961160801</v>
      </c>
      <c r="I69" s="97">
        <f t="shared" si="3"/>
        <v>25168303.296696071</v>
      </c>
      <c r="J69" s="98">
        <f t="shared" si="4"/>
        <v>25168303.296696071</v>
      </c>
      <c r="K69" s="93"/>
    </row>
    <row r="70" spans="2:11">
      <c r="B70" s="94">
        <f t="shared" si="1"/>
        <v>4.666666666666667</v>
      </c>
      <c r="C70" s="95">
        <v>56</v>
      </c>
      <c r="D70" s="96">
        <f t="shared" si="2"/>
        <v>45536</v>
      </c>
      <c r="E70" s="97">
        <f t="shared" si="5"/>
        <v>26958333.333333332</v>
      </c>
      <c r="F70" s="98">
        <f t="shared" si="7"/>
        <v>26958333.333333332</v>
      </c>
      <c r="G70" s="99">
        <f t="shared" si="6"/>
        <v>64700000000</v>
      </c>
      <c r="H70" s="94">
        <f>(('CDS valuation'!$E$5/12)+1)^C70</f>
        <v>1.0724612991112248</v>
      </c>
      <c r="I70" s="97">
        <f t="shared" si="3"/>
        <v>25136882.193953637</v>
      </c>
      <c r="J70" s="98">
        <f t="shared" si="4"/>
        <v>25136882.193953637</v>
      </c>
      <c r="K70" s="93"/>
    </row>
    <row r="71" spans="2:11">
      <c r="B71" s="94">
        <f t="shared" si="1"/>
        <v>4.75</v>
      </c>
      <c r="C71" s="95">
        <v>57</v>
      </c>
      <c r="D71" s="96">
        <f t="shared" si="2"/>
        <v>45566</v>
      </c>
      <c r="E71" s="97">
        <f t="shared" si="5"/>
        <v>26958333.333333332</v>
      </c>
      <c r="F71" s="98">
        <f t="shared" si="7"/>
        <v>26958333.333333332</v>
      </c>
      <c r="G71" s="99">
        <f t="shared" si="6"/>
        <v>64700000000</v>
      </c>
      <c r="H71" s="94">
        <f>(('CDS valuation'!$E$5/12)+1)^C71</f>
        <v>1.0738018757351138</v>
      </c>
      <c r="I71" s="97">
        <f t="shared" si="3"/>
        <v>25105500.318555444</v>
      </c>
      <c r="J71" s="98">
        <f t="shared" si="4"/>
        <v>25105500.318555444</v>
      </c>
      <c r="K71" s="93"/>
    </row>
    <row r="72" spans="2:11">
      <c r="B72" s="94">
        <f t="shared" si="1"/>
        <v>4.833333333333333</v>
      </c>
      <c r="C72" s="95">
        <v>58</v>
      </c>
      <c r="D72" s="96">
        <f t="shared" si="2"/>
        <v>45597</v>
      </c>
      <c r="E72" s="97">
        <f t="shared" si="5"/>
        <v>26958333.333333332</v>
      </c>
      <c r="F72" s="98">
        <f t="shared" si="7"/>
        <v>26958333.333333332</v>
      </c>
      <c r="G72" s="99">
        <f t="shared" si="6"/>
        <v>64700000000</v>
      </c>
      <c r="H72" s="94">
        <f>(('CDS valuation'!$E$5/12)+1)^C72</f>
        <v>1.0751441280797829</v>
      </c>
      <c r="I72" s="97">
        <f t="shared" si="3"/>
        <v>25074157.621528529</v>
      </c>
      <c r="J72" s="98">
        <f t="shared" si="4"/>
        <v>25074157.621528529</v>
      </c>
      <c r="K72" s="93"/>
    </row>
    <row r="73" spans="2:11">
      <c r="B73" s="94">
        <f t="shared" si="1"/>
        <v>4.916666666666667</v>
      </c>
      <c r="C73" s="95">
        <v>59</v>
      </c>
      <c r="D73" s="96">
        <f t="shared" si="2"/>
        <v>45627</v>
      </c>
      <c r="E73" s="97">
        <f t="shared" si="5"/>
        <v>26958333.333333332</v>
      </c>
      <c r="F73" s="98">
        <f t="shared" si="7"/>
        <v>26958333.333333332</v>
      </c>
      <c r="G73" s="99">
        <f t="shared" si="6"/>
        <v>64700000000</v>
      </c>
      <c r="H73" s="94">
        <f>(('CDS valuation'!$E$5/12)+1)^C73</f>
        <v>1.0764880582398828</v>
      </c>
      <c r="I73" s="97">
        <f t="shared" si="3"/>
        <v>25042854.053961072</v>
      </c>
      <c r="J73" s="98">
        <f t="shared" si="4"/>
        <v>25042854.053961072</v>
      </c>
      <c r="K73" s="93"/>
    </row>
    <row r="74" spans="2:11">
      <c r="B74" s="94">
        <f t="shared" si="1"/>
        <v>5</v>
      </c>
      <c r="C74" s="95">
        <v>60</v>
      </c>
      <c r="D74" s="96">
        <f t="shared" si="2"/>
        <v>45658</v>
      </c>
      <c r="E74" s="97">
        <f t="shared" si="5"/>
        <v>26958333.333333332</v>
      </c>
      <c r="F74" s="98">
        <f t="shared" si="7"/>
        <v>26958333.333333332</v>
      </c>
      <c r="G74" s="99">
        <f t="shared" si="6"/>
        <v>64700000000</v>
      </c>
      <c r="H74" s="94">
        <f>(('CDS valuation'!$E$5/12)+1)^C74</f>
        <v>1.0778336683126823</v>
      </c>
      <c r="I74" s="97">
        <f t="shared" si="3"/>
        <v>25011589.567002326</v>
      </c>
      <c r="J74" s="98">
        <f t="shared" si="4"/>
        <v>25011589.567002326</v>
      </c>
      <c r="K74" s="93"/>
    </row>
  </sheetData>
  <mergeCells count="6">
    <mergeCell ref="B13:J13"/>
    <mergeCell ref="D5:E5"/>
    <mergeCell ref="I6:S6"/>
    <mergeCell ref="I7:S7"/>
    <mergeCell ref="I8:S8"/>
    <mergeCell ref="I5:S5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topLeftCell="D19" workbookViewId="0">
      <selection activeCell="S17" sqref="S17"/>
    </sheetView>
  </sheetViews>
  <sheetFormatPr defaultRowHeight="15"/>
  <cols>
    <col min="13" max="13" width="13.7109375" style="62" bestFit="1" customWidth="1"/>
  </cols>
  <sheetData>
    <row r="1" spans="1:15" ht="20.25">
      <c r="A1" s="43" t="s">
        <v>12</v>
      </c>
      <c r="B1" s="44"/>
      <c r="C1" s="44"/>
      <c r="D1" s="44"/>
      <c r="E1" s="44"/>
      <c r="F1" s="44"/>
      <c r="G1" s="44"/>
      <c r="H1" s="44"/>
      <c r="I1" s="44"/>
      <c r="J1" s="44"/>
      <c r="N1" s="60" t="s">
        <v>103</v>
      </c>
      <c r="O1" s="60" t="s">
        <v>102</v>
      </c>
    </row>
    <row r="2" spans="1:15" ht="39" thickBot="1">
      <c r="A2" s="45" t="s">
        <v>13</v>
      </c>
      <c r="B2" s="46" t="s">
        <v>14</v>
      </c>
      <c r="C2" s="47" t="s">
        <v>15</v>
      </c>
      <c r="D2" s="47" t="s">
        <v>16</v>
      </c>
      <c r="E2" s="47" t="s">
        <v>17</v>
      </c>
      <c r="F2" s="47" t="s">
        <v>18</v>
      </c>
      <c r="G2" s="47" t="s">
        <v>19</v>
      </c>
      <c r="H2" s="48" t="s">
        <v>20</v>
      </c>
      <c r="I2" s="48" t="s">
        <v>21</v>
      </c>
      <c r="J2" s="48" t="s">
        <v>22</v>
      </c>
      <c r="M2" s="62">
        <f>M3-7</f>
        <v>43830</v>
      </c>
      <c r="N2" s="40">
        <v>0</v>
      </c>
      <c r="O2" s="40">
        <v>0</v>
      </c>
    </row>
    <row r="3" spans="1:15" ht="15.75" thickBot="1">
      <c r="A3" s="49" t="s">
        <v>23</v>
      </c>
      <c r="B3" s="49" t="s">
        <v>24</v>
      </c>
      <c r="C3" s="50">
        <v>31.3</v>
      </c>
      <c r="D3" s="50">
        <v>20.95</v>
      </c>
      <c r="E3" s="51">
        <v>25.48</v>
      </c>
      <c r="F3" s="51">
        <v>16.899999999999999</v>
      </c>
      <c r="G3" s="50">
        <v>20.95</v>
      </c>
      <c r="H3" s="49" t="s">
        <v>25</v>
      </c>
      <c r="I3" s="49" t="s">
        <v>26</v>
      </c>
      <c r="J3" s="49" t="s">
        <v>27</v>
      </c>
      <c r="K3" s="58">
        <v>2870.12</v>
      </c>
      <c r="L3" s="61">
        <v>20</v>
      </c>
      <c r="M3" s="63">
        <v>43837</v>
      </c>
      <c r="N3" s="40">
        <v>1.9809457777997252E-3</v>
      </c>
      <c r="O3" s="40">
        <v>5.0000000000000001E-3</v>
      </c>
    </row>
    <row r="4" spans="1:15" ht="15.75" thickBot="1">
      <c r="A4" s="52" t="s">
        <v>28</v>
      </c>
      <c r="B4" s="52" t="s">
        <v>29</v>
      </c>
      <c r="C4" s="53">
        <v>31.02</v>
      </c>
      <c r="D4" s="53">
        <v>20.45</v>
      </c>
      <c r="E4" s="52" t="s">
        <v>30</v>
      </c>
      <c r="F4" s="54">
        <v>16.420000000000002</v>
      </c>
      <c r="G4" s="53">
        <v>20.45</v>
      </c>
      <c r="H4" s="52" t="s">
        <v>31</v>
      </c>
      <c r="I4" s="52" t="s">
        <v>32</v>
      </c>
      <c r="J4" s="52" t="s">
        <v>33</v>
      </c>
      <c r="K4" s="58">
        <v>2868.44</v>
      </c>
      <c r="L4" s="61">
        <v>19</v>
      </c>
      <c r="M4" s="63">
        <f>M3+7</f>
        <v>43844</v>
      </c>
      <c r="N4" s="40">
        <v>1.620970787240239E-2</v>
      </c>
      <c r="O4" s="40">
        <v>6.0000000000000001E-3</v>
      </c>
    </row>
    <row r="5" spans="1:15" ht="15.75" thickBot="1">
      <c r="A5" s="52" t="s">
        <v>34</v>
      </c>
      <c r="B5" s="52" t="s">
        <v>35</v>
      </c>
      <c r="C5" s="53">
        <v>31.5</v>
      </c>
      <c r="D5" s="53">
        <v>20.8</v>
      </c>
      <c r="E5" s="54">
        <v>25.01</v>
      </c>
      <c r="F5" s="54">
        <v>16.420000000000002</v>
      </c>
      <c r="G5" s="53">
        <v>20.75</v>
      </c>
      <c r="H5" s="52" t="s">
        <v>36</v>
      </c>
      <c r="I5" s="52" t="s">
        <v>37</v>
      </c>
      <c r="J5" s="52" t="s">
        <v>38</v>
      </c>
      <c r="K5" s="58">
        <v>2912.43</v>
      </c>
      <c r="L5" s="61">
        <v>18</v>
      </c>
      <c r="M5" s="63">
        <f t="shared" ref="M5:M22" si="0">M4+7</f>
        <v>43851</v>
      </c>
      <c r="N5" s="40">
        <v>2.786014522808733E-2</v>
      </c>
      <c r="O5" s="40">
        <v>2.1999999999999999E-2</v>
      </c>
    </row>
    <row r="6" spans="1:15" ht="15.75" thickBot="1">
      <c r="A6" s="52" t="s">
        <v>39</v>
      </c>
      <c r="B6" s="52" t="s">
        <v>29</v>
      </c>
      <c r="C6" s="53">
        <v>29.27</v>
      </c>
      <c r="D6" s="53">
        <v>18.920000000000002</v>
      </c>
      <c r="E6" s="54">
        <v>23.78</v>
      </c>
      <c r="F6" s="54">
        <v>15.32</v>
      </c>
      <c r="G6" s="53">
        <v>18.89</v>
      </c>
      <c r="H6" s="52" t="s">
        <v>40</v>
      </c>
      <c r="I6" s="52" t="s">
        <v>40</v>
      </c>
      <c r="J6" s="52" t="s">
        <v>41</v>
      </c>
      <c r="K6" s="58">
        <v>2736.56</v>
      </c>
      <c r="L6" s="61">
        <v>17</v>
      </c>
      <c r="M6" s="63">
        <f t="shared" si="0"/>
        <v>43858</v>
      </c>
      <c r="N6" s="40">
        <v>1.4070905477933993E-2</v>
      </c>
      <c r="O6" s="40">
        <v>8.9999999999999993E-3</v>
      </c>
    </row>
    <row r="7" spans="1:15" ht="15.75" thickBot="1">
      <c r="A7" s="52" t="s">
        <v>42</v>
      </c>
      <c r="B7" s="52" t="s">
        <v>43</v>
      </c>
      <c r="C7" s="52" t="s">
        <v>44</v>
      </c>
      <c r="D7" s="53">
        <v>19.3</v>
      </c>
      <c r="E7" s="54">
        <v>23.93</v>
      </c>
      <c r="F7" s="54">
        <v>15.24</v>
      </c>
      <c r="G7" s="55">
        <v>19.32</v>
      </c>
      <c r="H7" s="52" t="s">
        <v>45</v>
      </c>
      <c r="I7" s="52" t="s">
        <v>46</v>
      </c>
      <c r="J7" s="52" t="s">
        <v>47</v>
      </c>
      <c r="K7" s="58">
        <v>2846.06</v>
      </c>
      <c r="L7" s="61">
        <v>16</v>
      </c>
      <c r="M7" s="63">
        <f t="shared" si="0"/>
        <v>43865</v>
      </c>
      <c r="N7" s="40">
        <v>-1.6280898111292741E-3</v>
      </c>
      <c r="O7" s="40">
        <v>-1.2999999999999999E-2</v>
      </c>
    </row>
    <row r="8" spans="1:15" ht="15.75" thickBot="1">
      <c r="A8" s="52" t="s">
        <v>48</v>
      </c>
      <c r="B8" s="52" t="s">
        <v>49</v>
      </c>
      <c r="C8" s="53">
        <v>28.35</v>
      </c>
      <c r="D8" s="53">
        <v>18.600000000000001</v>
      </c>
      <c r="E8" s="54">
        <v>22.97</v>
      </c>
      <c r="F8" s="54">
        <v>15.18</v>
      </c>
      <c r="G8" s="55">
        <v>18.59</v>
      </c>
      <c r="H8" s="52" t="s">
        <v>50</v>
      </c>
      <c r="I8" s="52" t="s">
        <v>51</v>
      </c>
      <c r="J8" s="52" t="s">
        <v>52</v>
      </c>
      <c r="K8" s="58">
        <v>2659.41</v>
      </c>
      <c r="L8" s="61">
        <v>15</v>
      </c>
      <c r="M8" s="63">
        <f t="shared" si="0"/>
        <v>43872</v>
      </c>
      <c r="N8" s="40">
        <v>3.9300107094881076E-2</v>
      </c>
      <c r="O8" s="40">
        <v>2.9000000000000001E-2</v>
      </c>
    </row>
    <row r="9" spans="1:15" ht="15.75" thickBot="1">
      <c r="A9" s="52" t="s">
        <v>53</v>
      </c>
      <c r="B9" s="52" t="s">
        <v>35</v>
      </c>
      <c r="C9" s="55">
        <v>27.72</v>
      </c>
      <c r="D9" s="53">
        <v>18.18</v>
      </c>
      <c r="E9" s="54">
        <v>22.32</v>
      </c>
      <c r="F9" s="52" t="s">
        <v>54</v>
      </c>
      <c r="G9" s="53">
        <v>18.25</v>
      </c>
      <c r="H9" s="52" t="s">
        <v>55</v>
      </c>
      <c r="I9" s="52" t="s">
        <v>56</v>
      </c>
      <c r="J9" s="52" t="s">
        <v>57</v>
      </c>
      <c r="K9" s="58">
        <v>2584.59</v>
      </c>
      <c r="L9" s="61">
        <v>14</v>
      </c>
      <c r="M9" s="63">
        <f t="shared" si="0"/>
        <v>43879</v>
      </c>
      <c r="N9" s="40">
        <v>4.3181522728257482E-2</v>
      </c>
      <c r="O9" s="40">
        <v>3.6999999999999998E-2</v>
      </c>
    </row>
    <row r="10" spans="1:15">
      <c r="A10" s="52" t="s">
        <v>58</v>
      </c>
      <c r="B10" s="52" t="s">
        <v>29</v>
      </c>
      <c r="C10" s="53">
        <v>26.91</v>
      </c>
      <c r="D10" s="53">
        <v>15.48</v>
      </c>
      <c r="E10" s="54">
        <v>22.91</v>
      </c>
      <c r="F10" s="54">
        <v>13.32</v>
      </c>
      <c r="G10" s="55">
        <v>15.48</v>
      </c>
      <c r="H10" s="52" t="s">
        <v>59</v>
      </c>
      <c r="I10" s="52" t="s">
        <v>60</v>
      </c>
      <c r="J10" s="52" t="s">
        <v>61</v>
      </c>
      <c r="K10" s="58">
        <v>2447.33</v>
      </c>
      <c r="L10" s="61">
        <v>13</v>
      </c>
      <c r="M10" s="63">
        <f t="shared" si="0"/>
        <v>43886</v>
      </c>
      <c r="N10" s="40">
        <v>-3.1747751317019457E-2</v>
      </c>
      <c r="O10" s="40">
        <v>-3.5000000000000003E-2</v>
      </c>
    </row>
    <row r="11" spans="1:15" ht="29.25" thickBot="1">
      <c r="A11" s="56" t="s">
        <v>62</v>
      </c>
      <c r="B11" s="52" t="s">
        <v>43</v>
      </c>
      <c r="C11" s="53">
        <v>25.19</v>
      </c>
      <c r="D11" s="55">
        <v>16</v>
      </c>
      <c r="E11" s="57">
        <v>20.85</v>
      </c>
      <c r="F11" s="54">
        <v>13.4</v>
      </c>
      <c r="G11" s="53">
        <v>16.12</v>
      </c>
      <c r="H11" s="52" t="s">
        <v>63</v>
      </c>
      <c r="I11" s="52" t="s">
        <v>64</v>
      </c>
      <c r="J11" s="52" t="s">
        <v>65</v>
      </c>
      <c r="K11" s="59">
        <v>2529.19</v>
      </c>
      <c r="L11" s="61">
        <v>12</v>
      </c>
      <c r="M11" s="63">
        <v>43890</v>
      </c>
      <c r="N11" s="40">
        <v>-8.5601619423173458E-2</v>
      </c>
      <c r="O11" s="40">
        <v>-7.0999999999999994E-2</v>
      </c>
    </row>
    <row r="12" spans="1:15" ht="15.75" thickBot="1">
      <c r="A12" s="52" t="s">
        <v>66</v>
      </c>
      <c r="B12" s="52" t="s">
        <v>43</v>
      </c>
      <c r="C12" s="53">
        <v>27.7</v>
      </c>
      <c r="D12" s="55">
        <v>16</v>
      </c>
      <c r="E12" s="54">
        <v>21.13</v>
      </c>
      <c r="F12" s="54">
        <v>12.18</v>
      </c>
      <c r="G12" s="53">
        <v>16.04</v>
      </c>
      <c r="H12" s="52" t="s">
        <v>67</v>
      </c>
      <c r="I12" s="52" t="s">
        <v>68</v>
      </c>
      <c r="J12" s="52" t="s">
        <v>68</v>
      </c>
      <c r="K12" s="58">
        <v>2746.56</v>
      </c>
      <c r="L12" s="61">
        <v>11</v>
      </c>
      <c r="M12" s="63">
        <v>43899</v>
      </c>
      <c r="N12" s="40">
        <v>-0.14987711945722093</v>
      </c>
      <c r="O12" s="40">
        <v>2.8000000000000001E-2</v>
      </c>
    </row>
    <row r="13" spans="1:15" ht="26.25" thickBot="1">
      <c r="A13" s="52" t="s">
        <v>69</v>
      </c>
      <c r="B13" s="52" t="s">
        <v>35</v>
      </c>
      <c r="C13" s="53">
        <v>25.04</v>
      </c>
      <c r="D13" s="53">
        <v>17.28</v>
      </c>
      <c r="E13" s="54">
        <v>19.53</v>
      </c>
      <c r="F13" s="54">
        <v>13.4</v>
      </c>
      <c r="G13" s="55">
        <v>17.3</v>
      </c>
      <c r="H13" s="52" t="s">
        <v>70</v>
      </c>
      <c r="I13" s="52" t="s">
        <v>71</v>
      </c>
      <c r="J13" s="52" t="s">
        <v>72</v>
      </c>
      <c r="K13" s="58">
        <v>2954.22</v>
      </c>
      <c r="L13" s="61">
        <v>10</v>
      </c>
      <c r="M13" s="63">
        <f>M12+8</f>
        <v>43907</v>
      </c>
      <c r="N13" s="40">
        <v>-0.21715808566352401</v>
      </c>
      <c r="O13" s="40">
        <v>-6.5000000000000002E-2</v>
      </c>
    </row>
    <row r="14" spans="1:15" ht="26.25" thickBot="1">
      <c r="A14" s="52" t="s">
        <v>73</v>
      </c>
      <c r="B14" s="52" t="s">
        <v>43</v>
      </c>
      <c r="C14" s="53">
        <v>26</v>
      </c>
      <c r="D14" s="53">
        <v>19.239999999999998</v>
      </c>
      <c r="E14" s="54">
        <v>19.989999999999998</v>
      </c>
      <c r="F14" s="54">
        <v>14.74</v>
      </c>
      <c r="G14" s="53">
        <v>19.399999999999999</v>
      </c>
      <c r="H14" s="52" t="s">
        <v>74</v>
      </c>
      <c r="I14" s="52" t="s">
        <v>75</v>
      </c>
      <c r="J14" s="52" t="s">
        <v>76</v>
      </c>
      <c r="K14" s="58">
        <v>3128.21</v>
      </c>
      <c r="L14" s="61">
        <v>9</v>
      </c>
      <c r="M14" s="63">
        <f t="shared" si="0"/>
        <v>43914</v>
      </c>
      <c r="N14" s="40">
        <v>-0.24249562025269444</v>
      </c>
      <c r="O14" s="40">
        <v>2E-3</v>
      </c>
    </row>
    <row r="15" spans="1:15" ht="26.25" thickBot="1">
      <c r="A15" s="52" t="s">
        <v>77</v>
      </c>
      <c r="B15" s="52" t="s">
        <v>78</v>
      </c>
      <c r="C15" s="53">
        <v>27.92</v>
      </c>
      <c r="D15" s="53">
        <v>20.3</v>
      </c>
      <c r="E15" s="54">
        <v>21.48</v>
      </c>
      <c r="F15" s="54">
        <v>15.6</v>
      </c>
      <c r="G15" s="53">
        <v>20.329999999999998</v>
      </c>
      <c r="H15" s="52" t="s">
        <v>79</v>
      </c>
      <c r="I15" s="52" t="s">
        <v>80</v>
      </c>
      <c r="J15" s="52" t="s">
        <v>81</v>
      </c>
      <c r="K15" s="58">
        <v>3370.29</v>
      </c>
      <c r="L15" s="61">
        <v>8</v>
      </c>
      <c r="M15" s="63">
        <f t="shared" si="0"/>
        <v>43921</v>
      </c>
      <c r="N15" s="40">
        <v>-0.20001052377444462</v>
      </c>
      <c r="O15" s="40">
        <v>3.3000000000000002E-2</v>
      </c>
    </row>
    <row r="16" spans="1:15" ht="26.25" thickBot="1">
      <c r="A16" s="52" t="s">
        <v>82</v>
      </c>
      <c r="B16" s="52" t="s">
        <v>43</v>
      </c>
      <c r="C16" s="53">
        <v>27.73</v>
      </c>
      <c r="D16" s="53">
        <v>19.899999999999999</v>
      </c>
      <c r="E16" s="54">
        <v>21.4</v>
      </c>
      <c r="F16" s="54">
        <v>15.36</v>
      </c>
      <c r="G16" s="53">
        <v>19.899999999999999</v>
      </c>
      <c r="H16" s="52" t="s">
        <v>83</v>
      </c>
      <c r="I16" s="52" t="s">
        <v>84</v>
      </c>
      <c r="J16" s="52" t="s">
        <v>85</v>
      </c>
      <c r="K16" s="58">
        <v>3357.75</v>
      </c>
      <c r="L16" s="61">
        <v>7</v>
      </c>
      <c r="M16" s="63">
        <f t="shared" si="0"/>
        <v>43928</v>
      </c>
      <c r="N16" s="40">
        <v>-0.17685202954085399</v>
      </c>
      <c r="O16" s="40">
        <v>5.6000000000000001E-2</v>
      </c>
    </row>
    <row r="17" spans="1:15" ht="26.25" thickBot="1">
      <c r="A17" s="52" t="s">
        <v>86</v>
      </c>
      <c r="B17" s="52" t="s">
        <v>35</v>
      </c>
      <c r="C17" s="53">
        <v>26.59</v>
      </c>
      <c r="D17" s="55">
        <v>19.38</v>
      </c>
      <c r="E17" s="54">
        <v>20.13</v>
      </c>
      <c r="F17" s="52" t="s">
        <v>87</v>
      </c>
      <c r="G17" s="55">
        <v>19.55</v>
      </c>
      <c r="H17" s="52" t="s">
        <v>88</v>
      </c>
      <c r="I17" s="52" t="s">
        <v>89</v>
      </c>
      <c r="J17" s="52" t="s">
        <v>90</v>
      </c>
      <c r="K17" s="58">
        <v>3225.52</v>
      </c>
      <c r="L17" s="61">
        <v>6</v>
      </c>
      <c r="M17" s="63">
        <f t="shared" si="0"/>
        <v>43935</v>
      </c>
      <c r="N17" s="40">
        <v>-0.11907960306798981</v>
      </c>
      <c r="O17" s="40">
        <v>0.125</v>
      </c>
    </row>
    <row r="18" spans="1:15" ht="26.25" thickBot="1">
      <c r="A18" s="52" t="s">
        <v>91</v>
      </c>
      <c r="B18" s="52" t="s">
        <v>92</v>
      </c>
      <c r="C18" s="53">
        <v>27.18</v>
      </c>
      <c r="D18" s="53">
        <v>19.66</v>
      </c>
      <c r="E18" s="54">
        <v>20.87</v>
      </c>
      <c r="F18" s="54">
        <v>15.1</v>
      </c>
      <c r="G18" s="53">
        <v>19.670000000000002</v>
      </c>
      <c r="H18" s="52" t="s">
        <v>93</v>
      </c>
      <c r="I18" s="52" t="s">
        <v>94</v>
      </c>
      <c r="J18" s="52" t="s">
        <v>93</v>
      </c>
      <c r="K18" s="58">
        <v>3276.24</v>
      </c>
      <c r="L18" s="61">
        <v>5</v>
      </c>
      <c r="M18" s="63">
        <f t="shared" si="0"/>
        <v>43942</v>
      </c>
      <c r="N18" s="40">
        <v>-0.15297234723503306</v>
      </c>
      <c r="O18" s="40">
        <v>0.09</v>
      </c>
    </row>
    <row r="19" spans="1:15" ht="26.25" thickBot="1">
      <c r="A19" s="52" t="s">
        <v>95</v>
      </c>
      <c r="B19" s="52" t="s">
        <v>43</v>
      </c>
      <c r="C19" s="53">
        <v>27.53</v>
      </c>
      <c r="D19" s="53">
        <v>20.399999999999999</v>
      </c>
      <c r="E19" s="54">
        <v>21.11</v>
      </c>
      <c r="F19" s="54">
        <v>15.62</v>
      </c>
      <c r="G19" s="52" t="s">
        <v>96</v>
      </c>
      <c r="H19" s="52" t="s">
        <v>97</v>
      </c>
      <c r="I19" s="52" t="s">
        <v>97</v>
      </c>
      <c r="J19" s="52" t="s">
        <v>97</v>
      </c>
      <c r="K19" s="58">
        <v>3320.79</v>
      </c>
      <c r="L19" s="61">
        <v>4</v>
      </c>
      <c r="M19" s="63">
        <f t="shared" si="0"/>
        <v>43949</v>
      </c>
      <c r="N19" s="40">
        <v>-9.853657630665047E-2</v>
      </c>
      <c r="O19" s="40">
        <v>0.17299999999999999</v>
      </c>
    </row>
    <row r="20" spans="1:15" ht="26.25" thickBot="1">
      <c r="A20" s="52" t="s">
        <v>98</v>
      </c>
      <c r="B20" s="52" t="s">
        <v>43</v>
      </c>
      <c r="C20" s="53">
        <v>27.09</v>
      </c>
      <c r="D20" s="55">
        <v>20.05</v>
      </c>
      <c r="E20" s="54">
        <v>20.81</v>
      </c>
      <c r="F20" s="54">
        <v>15.38</v>
      </c>
      <c r="G20" s="53">
        <v>20.03</v>
      </c>
      <c r="H20" s="52" t="s">
        <v>63</v>
      </c>
      <c r="I20" s="52" t="s">
        <v>63</v>
      </c>
      <c r="J20" s="52" t="s">
        <v>99</v>
      </c>
      <c r="K20" s="58">
        <v>3283.15</v>
      </c>
      <c r="L20" s="61">
        <v>3</v>
      </c>
      <c r="M20" s="63">
        <f t="shared" si="0"/>
        <v>43956</v>
      </c>
      <c r="N20" s="40">
        <v>-0.11215248330124616</v>
      </c>
      <c r="O20" s="40">
        <v>0.155</v>
      </c>
    </row>
    <row r="21" spans="1:15" ht="15.75" thickBot="1">
      <c r="A21" s="52" t="s">
        <v>100</v>
      </c>
      <c r="B21" s="52" t="s">
        <v>43</v>
      </c>
      <c r="C21" s="53">
        <v>27.07</v>
      </c>
      <c r="D21" s="55">
        <v>19.34</v>
      </c>
      <c r="E21" s="54">
        <v>20.64</v>
      </c>
      <c r="F21" s="54">
        <v>14.8</v>
      </c>
      <c r="G21" s="53">
        <v>19.350000000000001</v>
      </c>
      <c r="H21" s="52" t="s">
        <v>101</v>
      </c>
      <c r="I21" s="52" t="s">
        <v>101</v>
      </c>
      <c r="J21" s="52" t="s">
        <v>101</v>
      </c>
      <c r="K21" s="58">
        <v>3237.18</v>
      </c>
      <c r="L21" s="61">
        <v>2</v>
      </c>
      <c r="M21" s="63">
        <f t="shared" si="0"/>
        <v>43963</v>
      </c>
      <c r="N21" s="40">
        <v>-0.11163248503457379</v>
      </c>
      <c r="O21" s="40">
        <v>0.16500000000000001</v>
      </c>
    </row>
    <row r="22" spans="1:15">
      <c r="K22" s="58">
        <v>3230.78</v>
      </c>
      <c r="L22" s="61">
        <v>1</v>
      </c>
      <c r="M22" s="63">
        <f t="shared" si="0"/>
        <v>43970</v>
      </c>
    </row>
  </sheetData>
  <sortState xmlns:xlrd2="http://schemas.microsoft.com/office/spreadsheetml/2017/richdata2" ref="L3:O22">
    <sortCondition descending="1" ref="L3:L2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DF75-0A5E-4196-9D89-B21BB7E4D595}">
  <dimension ref="A1:E18"/>
  <sheetViews>
    <sheetView workbookViewId="0">
      <selection activeCell="C14" sqref="C14"/>
    </sheetView>
  </sheetViews>
  <sheetFormatPr defaultRowHeight="15"/>
  <cols>
    <col min="2" max="2" width="19" bestFit="1" customWidth="1"/>
    <col min="3" max="3" width="15.85546875" bestFit="1" customWidth="1"/>
    <col min="4" max="4" width="12" bestFit="1" customWidth="1"/>
  </cols>
  <sheetData>
    <row r="1" spans="1:5" ht="17.25">
      <c r="A1" s="64" t="s">
        <v>104</v>
      </c>
      <c r="B1" s="65"/>
      <c r="C1" s="65"/>
      <c r="D1" s="65"/>
      <c r="E1" s="39" t="s">
        <v>110</v>
      </c>
    </row>
    <row r="2" spans="1:5">
      <c r="A2" s="65"/>
      <c r="B2" s="65"/>
      <c r="C2" s="65"/>
      <c r="D2" s="65"/>
    </row>
    <row r="3" spans="1:5" ht="16.5">
      <c r="A3" s="66" t="s">
        <v>105</v>
      </c>
      <c r="B3" s="66" t="s">
        <v>106</v>
      </c>
      <c r="C3" s="66" t="s">
        <v>107</v>
      </c>
      <c r="D3" s="66" t="s">
        <v>103</v>
      </c>
    </row>
    <row r="4" spans="1:5" ht="17.25" thickBot="1">
      <c r="A4" s="67">
        <v>2000</v>
      </c>
      <c r="B4" s="73">
        <v>8.2000000000000003E-2</v>
      </c>
      <c r="C4" s="68">
        <v>6.6100000000000006E-2</v>
      </c>
      <c r="D4" s="68">
        <v>-7.4499999999999997E-2</v>
      </c>
      <c r="E4">
        <f t="shared" ref="E4:E10" si="0">E5/(B4+1)</f>
        <v>104.22905533488751</v>
      </c>
    </row>
    <row r="5" spans="1:5" ht="17.25" thickBot="1">
      <c r="A5" s="69">
        <v>2001</v>
      </c>
      <c r="B5" s="74">
        <v>0.5544</v>
      </c>
      <c r="C5" s="70">
        <v>0.44669999999999999</v>
      </c>
      <c r="D5" s="70">
        <v>-0.1188</v>
      </c>
      <c r="E5">
        <f t="shared" si="0"/>
        <v>112.77583787234829</v>
      </c>
    </row>
    <row r="6" spans="1:5" ht="17.25" thickBot="1">
      <c r="A6" s="67">
        <v>2002</v>
      </c>
      <c r="B6" s="73">
        <v>0.1608</v>
      </c>
      <c r="C6" s="68">
        <v>0.13100000000000001</v>
      </c>
      <c r="D6" s="68">
        <v>-0.221</v>
      </c>
      <c r="E6">
        <f t="shared" si="0"/>
        <v>175.29876238877819</v>
      </c>
    </row>
    <row r="7" spans="1:5" ht="17.25" thickBot="1">
      <c r="A7" s="69">
        <v>2003</v>
      </c>
      <c r="B7" s="74">
        <v>0.5071</v>
      </c>
      <c r="C7" s="70">
        <v>0.40810000000000002</v>
      </c>
      <c r="D7" s="70">
        <v>0.28689999999999999</v>
      </c>
      <c r="E7">
        <f t="shared" si="0"/>
        <v>203.48680338089372</v>
      </c>
    </row>
    <row r="8" spans="1:5" ht="17.25" thickBot="1">
      <c r="A8" s="67">
        <v>2004</v>
      </c>
      <c r="B8" s="73">
        <v>0.1077</v>
      </c>
      <c r="C8" s="68">
        <v>8.8599999999999998E-2</v>
      </c>
      <c r="D8" s="68">
        <v>0.10879999999999999</v>
      </c>
      <c r="E8">
        <f t="shared" si="0"/>
        <v>306.67496137534488</v>
      </c>
    </row>
    <row r="9" spans="1:5" ht="17.25" thickBot="1">
      <c r="A9" s="69">
        <v>2005</v>
      </c>
      <c r="B9" s="74">
        <v>7.8100000000000003E-2</v>
      </c>
      <c r="C9" s="70">
        <v>6.4899999999999999E-2</v>
      </c>
      <c r="D9" s="70">
        <v>4.9099999999999998E-2</v>
      </c>
      <c r="E9">
        <f t="shared" si="0"/>
        <v>339.7038547154695</v>
      </c>
    </row>
    <row r="10" spans="1:5" ht="17.25" thickBot="1">
      <c r="A10" s="67">
        <v>2006</v>
      </c>
      <c r="B10" s="73">
        <v>-0.18160000000000001</v>
      </c>
      <c r="C10" s="68">
        <v>-0.18160000000000001</v>
      </c>
      <c r="D10" s="68">
        <v>0.15790000000000001</v>
      </c>
      <c r="E10">
        <f t="shared" si="0"/>
        <v>366.23472576874769</v>
      </c>
    </row>
    <row r="11" spans="1:5" ht="17.25" thickBot="1">
      <c r="A11" s="69">
        <v>2007</v>
      </c>
      <c r="B11" s="74">
        <v>1.6691</v>
      </c>
      <c r="C11" s="70">
        <v>1.3827</v>
      </c>
      <c r="D11" s="70">
        <v>5.4899999999999997E-2</v>
      </c>
      <c r="E11">
        <f>E12/(B11+1)</f>
        <v>299.72649956914313</v>
      </c>
    </row>
    <row r="12" spans="1:5" ht="17.25" thickBot="1">
      <c r="A12" s="67" t="s">
        <v>108</v>
      </c>
      <c r="B12" s="68">
        <v>3.8300000000000001E-2</v>
      </c>
      <c r="C12" s="68">
        <v>3.09E-2</v>
      </c>
      <c r="D12" s="68">
        <v>-9.4500000000000001E-2</v>
      </c>
      <c r="E12">
        <f>800</f>
        <v>800</v>
      </c>
    </row>
    <row r="13" spans="1:5" ht="17.25" thickBot="1">
      <c r="A13" s="69" t="s">
        <v>109</v>
      </c>
      <c r="B13" s="70">
        <v>6.9694000000000003</v>
      </c>
      <c r="C13" s="70">
        <v>4.7240000000000002</v>
      </c>
      <c r="D13" s="70">
        <v>5.1999999999999998E-2</v>
      </c>
    </row>
    <row r="18" spans="2:2" ht="16.5">
      <c r="B18" s="71" t="s">
        <v>111</v>
      </c>
    </row>
  </sheetData>
  <hyperlinks>
    <hyperlink ref="E1" r:id="rId1" xr:uid="{A84891FA-6538-4A03-9294-3C6D904FABB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CDS valuation</vt:lpstr>
      <vt:lpstr>The Ackman Trade</vt:lpstr>
      <vt:lpstr>Ackman Performance</vt:lpstr>
      <vt:lpstr>Bury 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</cp:lastModifiedBy>
  <dcterms:created xsi:type="dcterms:W3CDTF">2011-11-08T04:29:20Z</dcterms:created>
  <dcterms:modified xsi:type="dcterms:W3CDTF">2020-05-16T16:42:54Z</dcterms:modified>
</cp:coreProperties>
</file>